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  <sheet name="Sådan gør du" sheetId="2" state="visible" r:id="rId4"/>
  </sheets>
  <definedNames>
    <definedName function="false" hidden="false" localSheetId="0" name="_xlnm.Print_Area" vbProcedure="false">Budget!$A$1:$F$74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<sst xmlns="http://schemas.openxmlformats.org/spreadsheetml/2006/main" count="183" uniqueCount="150">
  <si>
    <t xml:space="preserve">KRONER &amp; ØRE</t>
  </si>
  <si>
    <t xml:space="preserve">Start med at skrive dine indtægter i skemaet nedenfor. Så går vi i gang med at regne.</t>
  </si>
  <si>
    <t xml:space="preserve">INC</t>
  </si>
  <si>
    <t xml:space="preserve">Dit månedlige budget</t>
  </si>
  <si>
    <t xml:space="preserve">Godt begyndt. Udfyld nu dine udgifter, så får du din kommentar her.</t>
  </si>
  <si>
    <t xml:space="preserve">EXP</t>
  </si>
  <si>
    <t xml:space="preserve">Udfyld de cremefarvede felter. Resten regner sig selv.</t>
  </si>
  <si>
    <t xml:space="preserve">Du bruger markant mere, end du tjener. Start med de største poster mærket Ønske, og tag dem én ad gangen.</t>
  </si>
  <si>
    <t xml:space="preserve">T</t>
  </si>
  <si>
    <t xml:space="preserve">Du er i minus, og afdrag på gæld fylder meget. Undersøg, om lånene kan samles til en lavere rente.</t>
  </si>
  <si>
    <t xml:space="preserve">BH</t>
  </si>
  <si>
    <t xml:space="preserve">Indtægter</t>
  </si>
  <si>
    <t xml:space="preserve">Du bruger væsentligt mere, end du tjener. Kig først på posterne mærket Ønske.</t>
  </si>
  <si>
    <t xml:space="preserve">ON</t>
  </si>
  <si>
    <t xml:space="preserve">Udgifter og opsparing</t>
  </si>
  <si>
    <t xml:space="preserve">Du er lidt i minus, og mad ude koster over 1.500 kr. om måneden. Der ligger din hurtigste gevinst.</t>
  </si>
  <si>
    <t xml:space="preserve">S</t>
  </si>
  <si>
    <t xml:space="preserve">Du er lidt i minus, og ønskerne fylder godt. Skær lidt i det sjove, så er du i plus igen.</t>
  </si>
  <si>
    <t xml:space="preserve">SAV</t>
  </si>
  <si>
    <t xml:space="preserve">Tilbage hver måned</t>
  </si>
  <si>
    <t xml:space="preserve">Du er lidt i minus hver måned. Et par små justeringer kan vende det.</t>
  </si>
  <si>
    <t xml:space="preserve">TGT</t>
  </si>
  <si>
    <t xml:space="preserve">Boligen fylder over 45% af din indtægt. Det er tungt, og det er her, den store besparelse ligger, hvis du en dag flytter.</t>
  </si>
  <si>
    <t xml:space="preserve">GS</t>
  </si>
  <si>
    <t xml:space="preserve">Fordeling</t>
  </si>
  <si>
    <t xml:space="preserve">Du bruger</t>
  </si>
  <si>
    <t xml:space="preserve">Anbefalet</t>
  </si>
  <si>
    <t xml:space="preserve">Status</t>
  </si>
  <si>
    <t xml:space="preserve">Afdrag på gæld tager over en femtedel af din indtægt. Betal den dyreste gæld ud først.</t>
  </si>
  <si>
    <t xml:space="preserve">BOL</t>
  </si>
  <si>
    <t xml:space="preserve">Behov (bolig, mad, transport ...)</t>
  </si>
  <si>
    <t xml:space="preserve">Dine faste behov fylder meget. Bolig og transport er ofte de største håndtag.</t>
  </si>
  <si>
    <t xml:space="preserve">MAD</t>
  </si>
  <si>
    <t xml:space="preserve">Ønsker (fritid, takeaway ...)</t>
  </si>
  <si>
    <t xml:space="preserve">Mad fylder over en fjerdedel af din indtægt. En simpel madplan kan sænke den mærkbart.</t>
  </si>
  <si>
    <t xml:space="preserve">DAG</t>
  </si>
  <si>
    <t xml:space="preserve">Opsparing</t>
  </si>
  <si>
    <t xml:space="preserve">UDE</t>
  </si>
  <si>
    <t xml:space="preserve">Mit opsparingsmål (andel af indtægten)</t>
  </si>
  <si>
    <t xml:space="preserve">Bilen koster dig over 3.500 kr. om måneden. Regn på, om en billigere eller delt bil kan gøre det.</t>
  </si>
  <si>
    <t xml:space="preserve">TRA</t>
  </si>
  <si>
    <t xml:space="preserve">Transport fylder over 20% af din indtægt. Tjek, om der findes et billigere alternativ.</t>
  </si>
  <si>
    <t xml:space="preserve">BIL</t>
  </si>
  <si>
    <t xml:space="preserve">DET SIGER DINE TAL</t>
  </si>
  <si>
    <t xml:space="preserve">OFF</t>
  </si>
  <si>
    <t xml:space="preserve">Her er, hvad vi lægger mærke til i dit budget:</t>
  </si>
  <si>
    <t xml:space="preserve">Ønskerne fylder over 40%. Sæt et fast beløb af til sjov, og hold dig til det.</t>
  </si>
  <si>
    <t xml:space="preserve">BOR</t>
  </si>
  <si>
    <t xml:space="preserve">Behovene fylder lidt mere end anbefalet. Tjek forsikringer, el og mobilabonnement for billigere aftaler.</t>
  </si>
  <si>
    <t xml:space="preserve">ABO</t>
  </si>
  <si>
    <t xml:space="preserve">Ønskerne fylder mere end anbefalet, og opsparingen er lille. Flyt lidt fra det sjove til opsparing.</t>
  </si>
  <si>
    <t xml:space="preserve">FIT</t>
  </si>
  <si>
    <t xml:space="preserve">Tøj og pleje fylder over 10% af din indtægt. Prøv en måned med en fast ramme.</t>
  </si>
  <si>
    <t xml:space="preserve">DIG</t>
  </si>
  <si>
    <t xml:space="preserve">START HER  ↓</t>
  </si>
  <si>
    <t xml:space="preserve">Gaver og fester fylder meget. Sæt et fast beløb af hver måned, så december ikke kommer bag på dig.</t>
  </si>
  <si>
    <t xml:space="preserve">TOJ</t>
  </si>
  <si>
    <t xml:space="preserve">Dig selv og fritid fylder over en fjerdedel. Helt fint, så længe det er et bevidst valg.</t>
  </si>
  <si>
    <t xml:space="preserve">GAV</t>
  </si>
  <si>
    <t xml:space="preserve">Over 700 kr. til fitness og sport. Godt givet ud, hvis du bruger det. Ellers er det en oplagt besparelse.</t>
  </si>
  <si>
    <t xml:space="preserve">OPS</t>
  </si>
  <si>
    <t xml:space="preserve">Post</t>
  </si>
  <si>
    <t xml:space="preserve">Pr. måned</t>
  </si>
  <si>
    <t xml:space="preserve">Type</t>
  </si>
  <si>
    <t xml:space="preserve">Du sparer over halvdelen af din indtægt op. Imponerende. Husk også at leve lidt.</t>
  </si>
  <si>
    <t xml:space="preserve">INV</t>
  </si>
  <si>
    <t xml:space="preserve">INDTÆGTER (EFTER SKAT)</t>
  </si>
  <si>
    <t xml:space="preserve">Du har penge til overs, men sparer ikke op. Lav en fast overførsel samme dag, som lønnen kommer.</t>
  </si>
  <si>
    <t xml:space="preserve">BUF</t>
  </si>
  <si>
    <t xml:space="preserve">Løn</t>
  </si>
  <si>
    <t xml:space="preserve">Du sparer ikke op endnu. Selv 500 kr. om måneden gør en forskel.</t>
  </si>
  <si>
    <t xml:space="preserve">GLD</t>
  </si>
  <si>
    <t xml:space="preserve">SU, dagpenge eller pension</t>
  </si>
  <si>
    <t xml:space="preserve">Du er under halvvejs mod dit opsparingsmål. Sæt et mindre mål først, og byg op derfra.</t>
  </si>
  <si>
    <t xml:space="preserve">GLDP</t>
  </si>
  <si>
    <t xml:space="preserve">Børne- og ungeydelse, tilskud</t>
  </si>
  <si>
    <t xml:space="preserve">Du sparer mindre end dit mål. Flyt pengene til opsparing samme dag, som lønnen kommer.</t>
  </si>
  <si>
    <t xml:space="preserve">NINC</t>
  </si>
  <si>
    <t xml:space="preserve">Anden indkomst</t>
  </si>
  <si>
    <t xml:space="preserve">LEFTKR</t>
  </si>
  <si>
    <t xml:space="preserve">Du er tæt på dit opsparingsmål. Lidt mindre takeaway, og du er der.</t>
  </si>
  <si>
    <t xml:space="preserve">OVER</t>
  </si>
  <si>
    <t xml:space="preserve">BOLIG</t>
  </si>
  <si>
    <t xml:space="preserve">Husk en buffer til det uforudsete, fx tandlægen eller en ny vaskemaskine.</t>
  </si>
  <si>
    <t xml:space="preserve">IDX</t>
  </si>
  <si>
    <t xml:space="preserve">Husleje eller boliglån</t>
  </si>
  <si>
    <t xml:space="preserve">Behov</t>
  </si>
  <si>
    <t xml:space="preserve">Du har både overskud og gæld. Ekstra afdrag på den dyreste gæld er en sikker gevinst.</t>
  </si>
  <si>
    <t xml:space="preserve">ROS</t>
  </si>
  <si>
    <t xml:space="preserve">Fællesudgifter og ejendomsskat</t>
  </si>
  <si>
    <t xml:space="preserve">Du sparer langt mere end dit mål. Måske er det tid til at hæve målet.</t>
  </si>
  <si>
    <t xml:space="preserve">El, vand og varme</t>
  </si>
  <si>
    <t xml:space="preserve">Du rammer dit opsparingsmål. Stærkt gået, bliv ved.</t>
  </si>
  <si>
    <t xml:space="preserve">Internet og mobil</t>
  </si>
  <si>
    <t xml:space="preserve">Forsikringer</t>
  </si>
  <si>
    <t xml:space="preserve">Alle dine sparepenge står på kontoen. Overvej, om en del kan investeres på længere sigt.</t>
  </si>
  <si>
    <t xml:space="preserve">Budgettet går lige op. Det holder, så længe der ikke kommer overraskelser.</t>
  </si>
  <si>
    <t xml:space="preserve">Du har et meget stort overskud. Lad en fast overførsel til opsparing tage noget af det.</t>
  </si>
  <si>
    <t xml:space="preserve">Dagligvarer</t>
  </si>
  <si>
    <t xml:space="preserve">Du har god luft hver måned. Flyt noget af overskuddet over i opsparingen, før det bliver brugt.</t>
  </si>
  <si>
    <t xml:space="preserve">Takeaway og restaurant</t>
  </si>
  <si>
    <t xml:space="preserve">Ønske</t>
  </si>
  <si>
    <t xml:space="preserve">Du har overskud og bruger kun lidt på ønsker. Det er tilladt at bruge penge på noget, der gør dig glad.</t>
  </si>
  <si>
    <t xml:space="preserve">Frokost og kaffe ude</t>
  </si>
  <si>
    <t xml:space="preserve">Flot. Du har god luft hver måned. Giv overskuddet et job, så det ikke forsvinder.</t>
  </si>
  <si>
    <t xml:space="preserve">Flere indtægter og penge til overs. Det giver en robust økonomi.</t>
  </si>
  <si>
    <t xml:space="preserve">TRANSPORT</t>
  </si>
  <si>
    <t xml:space="preserve">Din bolig er billig i forhold til din indtægt. Det er et stærkt fundament for resten af budgettet.</t>
  </si>
  <si>
    <t xml:space="preserve">Offentlig transport</t>
  </si>
  <si>
    <t xml:space="preserve">Godt. Du har penge til overs. Beslut, hvad de skal bruges til, før måneden starter.</t>
  </si>
  <si>
    <t xml:space="preserve">Bil: brændstof eller opladning</t>
  </si>
  <si>
    <t xml:space="preserve">Ingen bil i budgettet. Det er en af de største besparelser, man kan have.</t>
  </si>
  <si>
    <t xml:space="preserve">Bil: forsikring, afgift og service</t>
  </si>
  <si>
    <t xml:space="preserve">Børn i budgettet og stadig plus på bundlinjen. Det er godt gået.</t>
  </si>
  <si>
    <t xml:space="preserve">Cykel og andet</t>
  </si>
  <si>
    <t xml:space="preserve">Lave faste udgifter og styr på det sjove. Det er en stærk kombination.</t>
  </si>
  <si>
    <t xml:space="preserve">Dit budget er i balance. Godt arbejde.</t>
  </si>
  <si>
    <t xml:space="preserve">BØRN OG KÆLEDYR</t>
  </si>
  <si>
    <t xml:space="preserve">Institution og SFO</t>
  </si>
  <si>
    <t xml:space="preserve">Børns fritid og tøj</t>
  </si>
  <si>
    <t xml:space="preserve">Kæledyr</t>
  </si>
  <si>
    <t xml:space="preserve">FASTE AFTALER</t>
  </si>
  <si>
    <t xml:space="preserve">A-kasse og fagforening</t>
  </si>
  <si>
    <t xml:space="preserve">Streaming og abonnementer</t>
  </si>
  <si>
    <t xml:space="preserve">Fitness og sport</t>
  </si>
  <si>
    <t xml:space="preserve">DIG SELV OG FRITID</t>
  </si>
  <si>
    <t xml:space="preserve">Tøj og personlig pleje</t>
  </si>
  <si>
    <t xml:space="preserve">Gaver og fester</t>
  </si>
  <si>
    <t xml:space="preserve">Oplevelser og hobbyer</t>
  </si>
  <si>
    <t xml:space="preserve">Sundhed, tandlæge og medicin</t>
  </si>
  <si>
    <t xml:space="preserve">OPSPARING OG GÆLD</t>
  </si>
  <si>
    <t xml:space="preserve">Investering og aktiesparekonto</t>
  </si>
  <si>
    <t xml:space="preserve">Buffer til det uforudsete</t>
  </si>
  <si>
    <t xml:space="preserve">Afdrag på lån og kreditkort</t>
  </si>
  <si>
    <t xml:space="preserve">Færdig? Scroll op og se, hvad dine tal siger.</t>
  </si>
  <si>
    <t xml:space="preserve">kronerogore.dk  ·  Gratis skabeloner til din privatøkonomi</t>
  </si>
  <si>
    <t xml:space="preserve">Sådan bruger du budgettet</t>
  </si>
  <si>
    <t xml:space="preserve">1. Skriv dine indtægter</t>
  </si>
  <si>
    <t xml:space="preserve">Brug beløbet, der lander på kontoen efter skat.</t>
  </si>
  <si>
    <t xml:space="preserve">2. Udfyld dine udgifter</t>
  </si>
  <si>
    <t xml:space="preserve">Kig på kontoudtoget for de sidste 2-3 måneder. Brug et gennemsnit.</t>
  </si>
  <si>
    <t xml:space="preserve">3. Tjek tallet øverst</t>
  </si>
  <si>
    <t xml:space="preserve">Er 'Tilbage hver måned' i minus, så start med posterne mærket 'Ønske'.</t>
  </si>
  <si>
    <t xml:space="preserve">4. Læs 'Det siger dine tal'</t>
  </si>
  <si>
    <t xml:space="preserve">Skemaet kigger dine tal igennem og giver dig én kommentar. Den ændrer sig, når du retter i budgettet.</t>
  </si>
  <si>
    <t xml:space="preserve">Tip</t>
  </si>
  <si>
    <t xml:space="preserve">Typen (Behov, Ønske, Opsparing) kan du selv ændre i kolonne D.</t>
  </si>
  <si>
    <t xml:space="preserve">EKSEMPEL PÅ UDFYLDNING</t>
  </si>
  <si>
    <t xml:space="preserve">Beløbene er kun et eksempel og påvirker ikke dit budget.</t>
  </si>
  <si>
    <t xml:space="preserve">kronerogore.dk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</si>
</sst>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kr.&quot;;\-#,##0&quot; kr.&quot;;\-"/>
    <numFmt numFmtId="166" formatCode="&quot;mindst &quot;#,##0&quot; kr.&quot;;;\-"/>
    <numFmt numFmtId="167" formatCode="&quot;højst &quot;#,##0&quot; kr.&quot;;;\-"/>
    <numFmt numFmtId="168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b val="true"/>
      <sz val="20"/>
      <color rgb="FF111111"/>
      <name val="Arial"/>
      <family val="0"/>
      <charset val="1"/>
    </font>
    <font>
      <sz val="10"/>
      <color rgb="FF8A8A8A"/>
      <name val="Arial"/>
      <family val="0"/>
      <charset val="1"/>
    </font>
    <font>
      <sz val="11"/>
      <color rgb="FF111111"/>
      <name val="Arial"/>
      <family val="0"/>
      <charset val="1"/>
    </font>
    <font>
      <b val="true"/>
      <sz val="11"/>
      <color rgb="FF111111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9"/>
      <color rgb="FF8A8A8A"/>
      <name val="Arial"/>
      <family val="0"/>
      <charset val="1"/>
    </font>
    <font>
      <sz val="10"/>
      <color rgb="FF111111"/>
      <name val="Arial"/>
      <family val="0"/>
      <charset val="1"/>
    </font>
    <font>
      <b val="true"/>
      <sz val="10"/>
      <color rgb="FF111111"/>
      <name val="Arial"/>
      <family val="0"/>
      <charset val="1"/>
    </font>
    <font>
      <sz val="9"/>
      <color rgb="FF8A8A8A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2"/>
      <color rgb="FF111111"/>
      <name val="Arial"/>
      <family val="0"/>
      <charset val="1"/>
    </font>
    <font>
      <b val="true"/>
      <sz val="18"/>
      <color rgb="FF111111"/>
      <name val="Arial"/>
      <family val="0"/>
      <charset val="1"/>
    </font>
    <font>
      <i val="true"/>
      <sz val="9"/>
      <color rgb="FF8A8A8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9B800"/>
        <bgColor rgb="FFFF9900"/>
      </patternFill>
    </fill>
    <fill>
      <patternFill patternType="solid">
        <fgColor rgb="FF111111"/>
        <bgColor rgb="FF000000"/>
      </patternFill>
    </fill>
    <fill>
      <patternFill patternType="solid">
        <fgColor rgb="FFFDF1E3"/>
        <bgColor rgb="FFF3F3F3"/>
      </patternFill>
    </fill>
    <fill>
      <patternFill patternType="solid">
        <fgColor rgb="FFF3F3F3"/>
        <bgColor rgb="FFFDF1E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E2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1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9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3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A"/>
      <rgbColor rgb="FF9999FF"/>
      <rgbColor rgb="FF993366"/>
      <rgbColor rgb="FFFDF1E3"/>
      <rgbColor rgb="FFF3F3F3"/>
      <rgbColor rgb="FF660066"/>
      <rgbColor rgb="FFFF8080"/>
      <rgbColor rgb="FF0066CC"/>
      <rgbColor rgb="FFE2E2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9B8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ronerogore.dk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kronerogore.dk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C27" activeCellId="0" sqref="C2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4" min="3" style="0" width="17"/>
    <col collapsed="false" customWidth="true" hidden="false" outlineLevel="0" max="5" min="5" style="0" width="12"/>
    <col collapsed="false" customWidth="true" hidden="false" outlineLevel="0" max="6" min="6" style="0" width="2"/>
    <col collapsed="false" customWidth="true" hidden="true" outlineLevel="0" max="13" min="8" style="0" width="1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H1" s="2"/>
      <c r="I1" s="2"/>
      <c r="J1" s="2"/>
      <c r="K1" s="2"/>
      <c r="L1" s="2"/>
      <c r="M1" s="2"/>
    </row>
    <row r="2" customFormat="false" ht="15.75" hidden="false" customHeight="true" outlineLevel="0" collapsed="false">
      <c r="E2" s="3" t="s">
        <v>0</v>
      </c>
      <c r="H2" s="2" t="n">
        <f aca="false">IF($M$2=0,1,0)</f>
        <v>1</v>
      </c>
      <c r="I2" s="2" t="n">
        <v>0</v>
      </c>
      <c r="J2" s="2" t="s">
        <v>1</v>
      </c>
      <c r="K2" s="2"/>
      <c r="L2" s="2" t="s">
        <v>2</v>
      </c>
      <c r="M2" s="4" t="n">
        <f aca="false">$C$6</f>
        <v>0</v>
      </c>
    </row>
    <row r="3" customFormat="false" ht="31.5" hidden="false" customHeight="true" outlineLevel="0" collapsed="false">
      <c r="B3" s="5" t="s">
        <v>3</v>
      </c>
      <c r="H3" s="2" t="n">
        <f aca="false">IF($M$3=0,1,0)</f>
        <v>1</v>
      </c>
      <c r="I3" s="2" t="n">
        <v>0</v>
      </c>
      <c r="J3" s="2" t="s">
        <v>4</v>
      </c>
      <c r="K3" s="2"/>
      <c r="L3" s="2" t="s">
        <v>5</v>
      </c>
      <c r="M3" s="4" t="n">
        <f aca="false">$C$7</f>
        <v>0</v>
      </c>
    </row>
    <row r="4" customFormat="false" ht="15.75" hidden="false" customHeight="true" outlineLevel="0" collapsed="false">
      <c r="B4" s="6" t="s">
        <v>6</v>
      </c>
      <c r="H4" s="2" t="n">
        <f aca="false">IF($M$4&lt;-0.25,1,0)</f>
        <v>0</v>
      </c>
      <c r="I4" s="2" t="n">
        <v>0</v>
      </c>
      <c r="J4" s="2" t="s">
        <v>7</v>
      </c>
      <c r="K4" s="2"/>
      <c r="L4" s="2" t="s">
        <v>8</v>
      </c>
      <c r="M4" s="2" t="n">
        <f aca="false">IF($C$6=0,0,$C$9/$C$6)</f>
        <v>0</v>
      </c>
    </row>
    <row r="5" customFormat="false" ht="9.75" hidden="false" customHeight="true" outlineLevel="0" collapsed="false">
      <c r="H5" s="2" t="n">
        <f aca="false">IF(AND($M$4&lt;-0.1,$M$28&gt;0.15),1,0)</f>
        <v>0</v>
      </c>
      <c r="I5" s="2" t="n">
        <v>0</v>
      </c>
      <c r="J5" s="2" t="s">
        <v>9</v>
      </c>
      <c r="K5" s="2"/>
      <c r="L5" s="2" t="s">
        <v>10</v>
      </c>
      <c r="M5" s="2" t="n">
        <f aca="false">IF($C$6=0,0,$C$12/$C$6)</f>
        <v>0</v>
      </c>
    </row>
    <row r="6" customFormat="false" ht="19.5" hidden="false" customHeight="true" outlineLevel="0" collapsed="false">
      <c r="B6" s="7" t="s">
        <v>11</v>
      </c>
      <c r="C6" s="8" t="n">
        <f aca="false">C26</f>
        <v>0</v>
      </c>
      <c r="H6" s="2" t="n">
        <f aca="false">IF($M$4&lt;-0.1,1,0)</f>
        <v>0</v>
      </c>
      <c r="I6" s="2" t="n">
        <v>0</v>
      </c>
      <c r="J6" s="2" t="s">
        <v>12</v>
      </c>
      <c r="K6" s="2"/>
      <c r="L6" s="2" t="s">
        <v>13</v>
      </c>
      <c r="M6" s="2" t="n">
        <f aca="false">IF($C$6=0,0,$C$13/$C$6)</f>
        <v>0</v>
      </c>
    </row>
    <row r="7" customFormat="false" ht="19.5" hidden="false" customHeight="true" outlineLevel="0" collapsed="false">
      <c r="B7" s="7" t="s">
        <v>14</v>
      </c>
      <c r="C7" s="8" t="n">
        <f aca="false">C32+C39+C44+C50+C55+C60+C66</f>
        <v>0</v>
      </c>
      <c r="H7" s="2" t="n">
        <f aca="false">IF(AND($M$4&lt;0,$M$14&gt;1500),1,0)</f>
        <v>0</v>
      </c>
      <c r="I7" s="2" t="n">
        <v>0</v>
      </c>
      <c r="J7" s="2" t="s">
        <v>15</v>
      </c>
      <c r="K7" s="2"/>
      <c r="L7" s="2" t="s">
        <v>16</v>
      </c>
      <c r="M7" s="2" t="n">
        <f aca="false">IF($C$6=0,0,$C$14/$C$6)</f>
        <v>0</v>
      </c>
    </row>
    <row r="8" customFormat="false" ht="9" hidden="false" customHeight="true" outlineLevel="0" collapsed="false">
      <c r="H8" s="2" t="n">
        <f aca="false">IF(AND($M$4&lt;0,$M$6&gt;0.2),1,0)</f>
        <v>0</v>
      </c>
      <c r="I8" s="2" t="n">
        <v>0</v>
      </c>
      <c r="J8" s="2" t="s">
        <v>17</v>
      </c>
      <c r="K8" s="2"/>
      <c r="L8" s="2" t="s">
        <v>18</v>
      </c>
      <c r="M8" s="4" t="n">
        <f aca="false">$C$14</f>
        <v>0</v>
      </c>
    </row>
    <row r="9" customFormat="false" ht="27" hidden="false" customHeight="true" outlineLevel="0" collapsed="false">
      <c r="B9" s="9" t="s">
        <v>19</v>
      </c>
      <c r="C9" s="10" t="n">
        <f aca="false">C6-C7</f>
        <v>0</v>
      </c>
      <c r="D9" s="11"/>
      <c r="E9" s="11"/>
      <c r="H9" s="2" t="n">
        <f aca="false">IF($M$4&lt;0,1,0)</f>
        <v>0</v>
      </c>
      <c r="I9" s="2" t="n">
        <v>0</v>
      </c>
      <c r="J9" s="2" t="s">
        <v>20</v>
      </c>
      <c r="K9" s="2"/>
      <c r="L9" s="2" t="s">
        <v>21</v>
      </c>
      <c r="M9" s="12" t="n">
        <f aca="false">$D$14</f>
        <v>0</v>
      </c>
    </row>
    <row r="10" customFormat="false" ht="19.5" hidden="false" customHeight="true" outlineLevel="0" collapsed="false">
      <c r="H10" s="2" t="n">
        <f aca="false">IF(AND($M$31=0,$M$11&gt;0.45),1,0)</f>
        <v>0</v>
      </c>
      <c r="I10" s="2" t="n">
        <v>1</v>
      </c>
      <c r="J10" s="2" t="s">
        <v>22</v>
      </c>
      <c r="K10" s="2"/>
      <c r="L10" s="2" t="s">
        <v>23</v>
      </c>
      <c r="M10" s="2" t="n">
        <f aca="false">IF($C$15="",0,1)</f>
        <v>0</v>
      </c>
    </row>
    <row r="11" customFormat="false" ht="15" hidden="false" customHeight="true" outlineLevel="0" collapsed="false">
      <c r="B11" s="13" t="s">
        <v>24</v>
      </c>
      <c r="C11" s="14" t="s">
        <v>25</v>
      </c>
      <c r="D11" s="14" t="s">
        <v>26</v>
      </c>
      <c r="E11" s="15" t="s">
        <v>27</v>
      </c>
      <c r="H11" s="2" t="n">
        <f aca="false">IF(AND($M$31=0,$M$28&gt;0.2),1,0)</f>
        <v>0</v>
      </c>
      <c r="I11" s="2" t="n">
        <v>1</v>
      </c>
      <c r="J11" s="2" t="s">
        <v>28</v>
      </c>
      <c r="K11" s="2"/>
      <c r="L11" s="2" t="s">
        <v>29</v>
      </c>
      <c r="M11" s="2" t="n">
        <f aca="false">IF($C$6=0,0,$C$32/$C$6)</f>
        <v>0</v>
      </c>
    </row>
    <row r="12" customFormat="false" ht="15.75" hidden="false" customHeight="true" outlineLevel="0" collapsed="false">
      <c r="B12" s="16" t="s">
        <v>30</v>
      </c>
      <c r="C12" s="17" t="n">
        <f aca="false">SUMIF($D$32:$D$70,"Behov",$C$32:$C$70)</f>
        <v>0</v>
      </c>
      <c r="D12" s="18" t="n">
        <f aca="false">$C$6*0.5</f>
        <v>0</v>
      </c>
      <c r="E12" s="19" t="str">
        <f aca="false">IF($C$6=0,"",IF(C12&lt;=D12,"✓ OK","For meget"))</f>
        <v/>
      </c>
      <c r="H12" s="2" t="n">
        <f aca="false">IF(AND($M$31=0,$M$5&gt;0.7),1,0)</f>
        <v>0</v>
      </c>
      <c r="I12" s="2" t="n">
        <v>1</v>
      </c>
      <c r="J12" s="2" t="s">
        <v>31</v>
      </c>
      <c r="K12" s="2"/>
      <c r="L12" s="2" t="s">
        <v>32</v>
      </c>
      <c r="M12" s="2" t="n">
        <f aca="false">IF($C$6=0,0,$C$39/$C$6)</f>
        <v>0</v>
      </c>
    </row>
    <row r="13" customFormat="false" ht="15.75" hidden="false" customHeight="true" outlineLevel="0" collapsed="false">
      <c r="B13" s="16" t="s">
        <v>33</v>
      </c>
      <c r="C13" s="17" t="n">
        <f aca="false">SUMIF($D$32:$D$70,"Ønske",$C$32:$C$70)</f>
        <v>0</v>
      </c>
      <c r="D13" s="18" t="n">
        <f aca="false">$C$6*0.3</f>
        <v>0</v>
      </c>
      <c r="E13" s="19" t="str">
        <f aca="false">IF($C$6=0,"",IF(C13&lt;=D13,"✓ OK","For meget"))</f>
        <v/>
      </c>
      <c r="H13" s="2" t="n">
        <f aca="false">IF(AND($M$31=0,$M$12&gt;0.25),1,0)</f>
        <v>0</v>
      </c>
      <c r="I13" s="2" t="n">
        <v>1</v>
      </c>
      <c r="J13" s="2" t="s">
        <v>34</v>
      </c>
      <c r="K13" s="2"/>
      <c r="L13" s="2" t="s">
        <v>35</v>
      </c>
      <c r="M13" s="4" t="n">
        <f aca="false">$C$40</f>
        <v>0</v>
      </c>
    </row>
    <row r="14" customFormat="false" ht="15.75" hidden="false" customHeight="true" outlineLevel="0" collapsed="false">
      <c r="B14" s="16" t="s">
        <v>36</v>
      </c>
      <c r="C14" s="17" t="n">
        <f aca="false">SUMIF($D$32:$D$70,"Opsparing",$C$32:$C$70)</f>
        <v>0</v>
      </c>
      <c r="D14" s="20" t="n">
        <f aca="false">$C$6*$C$15</f>
        <v>0</v>
      </c>
      <c r="E14" s="19" t="str">
        <f aca="false">IF(OR($C$6=0,$C$15=""),"",IF(C14&gt;=D14,"✓ OK","For lidt"))</f>
        <v/>
      </c>
      <c r="H14" s="2" t="n">
        <f aca="false">IF(AND($M$31=0,AND($M$14&gt;$M$13,$M$14&gt;1000)),1,0)</f>
        <v>0</v>
      </c>
      <c r="I14" s="2" t="n">
        <v>1</v>
      </c>
      <c r="J14" s="2" t="str">
        <f aca="false">"Du bruger mere på mad ude end på dagligvarer. Det er "&amp;IF(ROUND($M$14*12,-2)&gt;=1000,INT(ROUND($M$14*12,-2)/1000)&amp;"."&amp;RIGHT("00"&amp;MOD(ROUND($M$14*12,-2),1000),3),ROUND($M$14*12,-2)&amp;"")&amp;" kr. om året."</f>
        <v>Du bruger mere på mad ude end på dagligvarer. Det er 0 kr. om året.</v>
      </c>
      <c r="K14" s="2"/>
      <c r="L14" s="2" t="s">
        <v>37</v>
      </c>
      <c r="M14" s="2" t="n">
        <f aca="false">$C$41+$C$42</f>
        <v>0</v>
      </c>
    </row>
    <row r="15" customFormat="false" ht="15.75" hidden="false" customHeight="true" outlineLevel="0" collapsed="false">
      <c r="B15" s="21" t="s">
        <v>38</v>
      </c>
      <c r="C15" s="22"/>
      <c r="H15" s="2" t="n">
        <f aca="false">IF(AND($M$31=0,$M$16&gt;3500),1,0)</f>
        <v>0</v>
      </c>
      <c r="I15" s="2" t="n">
        <v>1</v>
      </c>
      <c r="J15" s="2" t="s">
        <v>39</v>
      </c>
      <c r="K15" s="2"/>
      <c r="L15" s="2" t="s">
        <v>40</v>
      </c>
      <c r="M15" s="2" t="n">
        <f aca="false">IF($C$6=0,0,$C$44/$C$6)</f>
        <v>0</v>
      </c>
    </row>
    <row r="16" customFormat="false" ht="24" hidden="false" customHeight="true" outlineLevel="0" collapsed="false">
      <c r="H16" s="2" t="n">
        <f aca="false">IF(AND($M$31=0,$M$15&gt;0.2),1,0)</f>
        <v>0</v>
      </c>
      <c r="I16" s="2" t="n">
        <v>1</v>
      </c>
      <c r="J16" s="2" t="s">
        <v>41</v>
      </c>
      <c r="K16" s="2"/>
      <c r="L16" s="2" t="s">
        <v>42</v>
      </c>
      <c r="M16" s="2" t="n">
        <f aca="false">$C$46+$C$47</f>
        <v>0</v>
      </c>
    </row>
    <row r="17" customFormat="false" ht="24" hidden="false" customHeight="true" outlineLevel="0" collapsed="false">
      <c r="B17" s="23" t="s">
        <v>43</v>
      </c>
      <c r="C17" s="1"/>
      <c r="D17" s="1"/>
      <c r="E17" s="1"/>
      <c r="H17" s="2" t="n">
        <f aca="false">IF(AND($M$31=0,$M$19&gt;800),1,0)</f>
        <v>0</v>
      </c>
      <c r="I17" s="2" t="n">
        <v>1</v>
      </c>
      <c r="J17" s="2" t="str">
        <f aca="false">"Dine abonnementer koster "&amp;IF(ROUND($M$19*12,-2)&gt;=1000,INT(ROUND($M$19*12,-2)/1000)&amp;"."&amp;RIGHT("00"&amp;MOD(ROUND($M$19*12,-2),1000),3),ROUND($M$19*12,-2)&amp;"")&amp;" kr. om året. Opsig dem, du ikke har brugt den sidste måned."</f>
        <v>Dine abonnementer koster 0 kr. om året. Opsig dem, du ikke har brugt den sidste måned.</v>
      </c>
      <c r="K17" s="2"/>
      <c r="L17" s="2" t="s">
        <v>44</v>
      </c>
      <c r="M17" s="4" t="n">
        <f aca="false">$C$45</f>
        <v>0</v>
      </c>
    </row>
    <row r="18" customFormat="false" ht="21" hidden="false" customHeight="true" outlineLevel="0" collapsed="false">
      <c r="B18" s="24" t="s">
        <v>45</v>
      </c>
      <c r="C18" s="25"/>
      <c r="D18" s="25"/>
      <c r="E18" s="25"/>
      <c r="H18" s="2" t="n">
        <f aca="false">IF(AND($M$31=0,$M$6&gt;0.4),1,0)</f>
        <v>0</v>
      </c>
      <c r="I18" s="2" t="n">
        <v>1</v>
      </c>
      <c r="J18" s="2" t="s">
        <v>46</v>
      </c>
      <c r="K18" s="2"/>
      <c r="L18" s="2" t="s">
        <v>47</v>
      </c>
      <c r="M18" s="4" t="n">
        <f aca="false">$C$50</f>
        <v>0</v>
      </c>
    </row>
    <row r="19" customFormat="false" ht="72" hidden="false" customHeight="true" outlineLevel="0" collapsed="false">
      <c r="B19" s="26" t="str">
        <f aca="false">INDEX($J$2:$J$49,$M$32)&amp;$M$33</f>
        <v>Start med at skrive dine indtægter i skemaet nedenfor. Så går vi i gang med at regne.</v>
      </c>
      <c r="C19" s="26"/>
      <c r="D19" s="26"/>
      <c r="E19" s="26"/>
      <c r="H19" s="2" t="n">
        <f aca="false">IF(AND($M$31=0,$M$5&gt;0.5),1,0)</f>
        <v>0</v>
      </c>
      <c r="I19" s="2" t="n">
        <v>1</v>
      </c>
      <c r="J19" s="2" t="s">
        <v>48</v>
      </c>
      <c r="K19" s="2"/>
      <c r="L19" s="2" t="s">
        <v>49</v>
      </c>
      <c r="M19" s="4" t="n">
        <f aca="false">$C$57</f>
        <v>0</v>
      </c>
    </row>
    <row r="20" customFormat="false" ht="9" hidden="false" customHeight="true" outlineLevel="0" collapsed="false">
      <c r="B20" s="25"/>
      <c r="C20" s="25"/>
      <c r="D20" s="25"/>
      <c r="E20" s="25"/>
      <c r="H20" s="2" t="n">
        <f aca="false">IF(AND($M$31=0,AND($M$6&gt;0.3,$M$7&lt;0.1)),1,0)</f>
        <v>0</v>
      </c>
      <c r="I20" s="2" t="n">
        <v>1</v>
      </c>
      <c r="J20" s="2" t="s">
        <v>50</v>
      </c>
      <c r="K20" s="2"/>
      <c r="L20" s="2" t="s">
        <v>51</v>
      </c>
      <c r="M20" s="4" t="n">
        <f aca="false">$C$58</f>
        <v>0</v>
      </c>
    </row>
    <row r="21" customFormat="false" ht="30" hidden="false" customHeight="true" outlineLevel="0" collapsed="false">
      <c r="H21" s="2" t="n">
        <f aca="false">IF(AND($M$31=0,$M$22&gt;$M$2*0.1),1,0)</f>
        <v>0</v>
      </c>
      <c r="I21" s="2" t="n">
        <v>1</v>
      </c>
      <c r="J21" s="2" t="s">
        <v>52</v>
      </c>
      <c r="K21" s="2"/>
      <c r="L21" s="2" t="s">
        <v>53</v>
      </c>
      <c r="M21" s="2" t="n">
        <f aca="false">IF($C$6=0,0,$C$60/$C$6)</f>
        <v>0</v>
      </c>
    </row>
    <row r="22" customFormat="false" ht="30" hidden="false" customHeight="true" outlineLevel="0" collapsed="false">
      <c r="B22" s="27" t="s">
        <v>54</v>
      </c>
      <c r="H22" s="2" t="n">
        <f aca="false">IF(AND($M$31=0,$M$23&gt;$M$2*0.08),1,0)</f>
        <v>0</v>
      </c>
      <c r="I22" s="2" t="n">
        <v>1</v>
      </c>
      <c r="J22" s="2" t="s">
        <v>55</v>
      </c>
      <c r="K22" s="2"/>
      <c r="L22" s="2" t="s">
        <v>56</v>
      </c>
      <c r="M22" s="4" t="n">
        <f aca="false">$C$61</f>
        <v>0</v>
      </c>
    </row>
    <row r="23" customFormat="false" ht="6" hidden="false" customHeight="true" outlineLevel="0" collapsed="false">
      <c r="H23" s="2" t="n">
        <f aca="false">IF(AND($M$31=0,$M$21&gt;0.25),1,0)</f>
        <v>0</v>
      </c>
      <c r="I23" s="2" t="n">
        <v>1</v>
      </c>
      <c r="J23" s="2" t="s">
        <v>57</v>
      </c>
      <c r="K23" s="2"/>
      <c r="L23" s="2" t="s">
        <v>58</v>
      </c>
      <c r="M23" s="4" t="n">
        <f aca="false">$C$62</f>
        <v>0</v>
      </c>
    </row>
    <row r="24" customFormat="false" ht="13.5" hidden="false" customHeight="true" outlineLevel="0" collapsed="false">
      <c r="H24" s="2" t="n">
        <f aca="false">IF(AND($M$31=0,$M$20&gt;700),1,0)</f>
        <v>0</v>
      </c>
      <c r="I24" s="2" t="n">
        <v>1</v>
      </c>
      <c r="J24" s="2" t="s">
        <v>59</v>
      </c>
      <c r="K24" s="2"/>
      <c r="L24" s="2" t="s">
        <v>60</v>
      </c>
      <c r="M24" s="4" t="n">
        <f aca="false">$C$67</f>
        <v>0</v>
      </c>
    </row>
    <row r="25" customFormat="false" ht="15.75" hidden="false" customHeight="true" outlineLevel="0" collapsed="false">
      <c r="B25" s="13" t="s">
        <v>61</v>
      </c>
      <c r="C25" s="14" t="s">
        <v>62</v>
      </c>
      <c r="D25" s="15" t="s">
        <v>63</v>
      </c>
      <c r="H25" s="2" t="n">
        <f aca="false">IF($M$7&gt;0.5,1,0)</f>
        <v>0</v>
      </c>
      <c r="I25" s="2" t="n">
        <v>0</v>
      </c>
      <c r="J25" s="2" t="s">
        <v>64</v>
      </c>
      <c r="K25" s="2"/>
      <c r="L25" s="2" t="s">
        <v>65</v>
      </c>
      <c r="M25" s="4" t="n">
        <f aca="false">$C$68</f>
        <v>0</v>
      </c>
    </row>
    <row r="26" customFormat="false" ht="23.25" hidden="false" customHeight="true" outlineLevel="0" collapsed="false">
      <c r="B26" s="28" t="s">
        <v>66</v>
      </c>
      <c r="C26" s="29" t="n">
        <f aca="false">SUM(C27:C30)</f>
        <v>0</v>
      </c>
      <c r="D26" s="28"/>
      <c r="E26" s="28"/>
      <c r="H26" s="2" t="n">
        <f aca="false">IF(AND($M$8=0,$M$4&gt;0.1),1,0)</f>
        <v>0</v>
      </c>
      <c r="I26" s="2" t="n">
        <v>1</v>
      </c>
      <c r="J26" s="2" t="s">
        <v>67</v>
      </c>
      <c r="K26" s="2"/>
      <c r="L26" s="2" t="s">
        <v>68</v>
      </c>
      <c r="M26" s="4" t="n">
        <f aca="false">$C$69</f>
        <v>0</v>
      </c>
    </row>
    <row r="27" customFormat="false" ht="20.25" hidden="false" customHeight="true" outlineLevel="0" collapsed="false">
      <c r="B27" s="16" t="s">
        <v>69</v>
      </c>
      <c r="C27" s="30"/>
      <c r="D27" s="31"/>
      <c r="E27" s="31"/>
      <c r="H27" s="2" t="n">
        <f aca="false">IF($M$8=0,1,0)</f>
        <v>1</v>
      </c>
      <c r="I27" s="2" t="n">
        <v>1</v>
      </c>
      <c r="J27" s="2" t="s">
        <v>70</v>
      </c>
      <c r="K27" s="2"/>
      <c r="L27" s="2" t="s">
        <v>71</v>
      </c>
      <c r="M27" s="4" t="n">
        <f aca="false">$C$70</f>
        <v>0</v>
      </c>
    </row>
    <row r="28" customFormat="false" ht="20.25" hidden="false" customHeight="true" outlineLevel="0" collapsed="false">
      <c r="B28" s="16" t="s">
        <v>72</v>
      </c>
      <c r="C28" s="30"/>
      <c r="D28" s="31"/>
      <c r="E28" s="31"/>
      <c r="H28" s="2" t="n">
        <f aca="false">IF(AND($M$10=1,$M$8&lt;$M$9*0.5),1,0)</f>
        <v>0</v>
      </c>
      <c r="I28" s="2" t="n">
        <v>0</v>
      </c>
      <c r="J28" s="2" t="s">
        <v>73</v>
      </c>
      <c r="K28" s="2"/>
      <c r="L28" s="2" t="s">
        <v>74</v>
      </c>
      <c r="M28" s="2" t="n">
        <f aca="false">IF($C$6=0,0,$C$70/$C$6)</f>
        <v>0</v>
      </c>
    </row>
    <row r="29" customFormat="false" ht="20.25" hidden="false" customHeight="true" outlineLevel="0" collapsed="false">
      <c r="B29" s="16" t="s">
        <v>75</v>
      </c>
      <c r="C29" s="30"/>
      <c r="D29" s="31"/>
      <c r="E29" s="31"/>
      <c r="H29" s="2" t="n">
        <f aca="false">IF(AND($M$10=1,$M$8&lt;$M$9*0.75),1,0)</f>
        <v>0</v>
      </c>
      <c r="I29" s="2" t="n">
        <v>0</v>
      </c>
      <c r="J29" s="2" t="s">
        <v>76</v>
      </c>
      <c r="K29" s="2"/>
      <c r="L29" s="2" t="s">
        <v>77</v>
      </c>
      <c r="M29" s="2" t="n">
        <f aca="false">COUNTIF($C$27:$C$30,"&gt;0")</f>
        <v>0</v>
      </c>
    </row>
    <row r="30" customFormat="false" ht="20.25" hidden="false" customHeight="true" outlineLevel="0" collapsed="false">
      <c r="B30" s="16" t="s">
        <v>78</v>
      </c>
      <c r="C30" s="30"/>
      <c r="D30" s="31"/>
      <c r="E30" s="31"/>
      <c r="H30" s="2" t="n">
        <f aca="false">IF(AND($M$10=1,$M$8&lt;$M$9,$M$30&gt;=$M$9-$M$8),1,0)</f>
        <v>0</v>
      </c>
      <c r="I30" s="2" t="n">
        <v>1</v>
      </c>
      <c r="J30" s="2" t="str">
        <f aca="false">"Du mangler "&amp;IF(ROUND($M$9-$M$8,-1)&gt;=1000,INT(ROUND($M$9-$M$8,-1)/1000)&amp;"."&amp;RIGHT("00"&amp;MOD(ROUND($M$9-$M$8,-1),1000),3),ROUND($M$9-$M$8,-1)&amp;"")&amp;" kr. om måneden for at nå dit mål. Pengene er der allerede i dit overskud."</f>
        <v>Du mangler 0 kr. om måneden for at nå dit mål. Pengene er der allerede i dit overskud.</v>
      </c>
      <c r="K30" s="2"/>
      <c r="L30" s="2" t="s">
        <v>79</v>
      </c>
      <c r="M30" s="4" t="n">
        <f aca="false">$C$9</f>
        <v>0</v>
      </c>
    </row>
    <row r="31" customFormat="false" ht="15.75" hidden="false" customHeight="true" outlineLevel="0" collapsed="false">
      <c r="H31" s="2" t="n">
        <f aca="false">IF(AND($M$10=1,$M$8&lt;$M$9),1,0)</f>
        <v>0</v>
      </c>
      <c r="I31" s="2" t="n">
        <v>1</v>
      </c>
      <c r="J31" s="2" t="s">
        <v>80</v>
      </c>
      <c r="K31" s="2"/>
      <c r="L31" s="2" t="s">
        <v>81</v>
      </c>
      <c r="M31" s="2" t="n">
        <f aca="false">IF(AND($M$4&gt;=0,OR(AND($M$10=1,$M$9&gt;0,$M$8&gt;=$M$9),AND($M$10=0,$M$7&gt;=0.2))),1,0)</f>
        <v>0</v>
      </c>
    </row>
    <row r="32" customFormat="false" ht="23.25" hidden="false" customHeight="true" outlineLevel="0" collapsed="false">
      <c r="B32" s="28" t="s">
        <v>82</v>
      </c>
      <c r="C32" s="29" t="n">
        <f aca="false">SUM(C33:C37)</f>
        <v>0</v>
      </c>
      <c r="D32" s="28"/>
      <c r="E32" s="28"/>
      <c r="H32" s="2" t="n">
        <f aca="false">IF(AND($M$31=0,$M$26=0),1,0)</f>
        <v>1</v>
      </c>
      <c r="I32" s="2" t="n">
        <v>1</v>
      </c>
      <c r="J32" s="2" t="s">
        <v>83</v>
      </c>
      <c r="K32" s="2"/>
      <c r="L32" s="2" t="s">
        <v>84</v>
      </c>
      <c r="M32" s="2" t="n">
        <f aca="false">MATCH(1,$H$2:$H$49,0)</f>
        <v>1</v>
      </c>
    </row>
    <row r="33" customFormat="false" ht="20.25" hidden="false" customHeight="true" outlineLevel="0" collapsed="false">
      <c r="B33" s="16" t="s">
        <v>85</v>
      </c>
      <c r="C33" s="30"/>
      <c r="D33" s="32" t="s">
        <v>86</v>
      </c>
      <c r="E33" s="31"/>
      <c r="H33" s="2" t="n">
        <f aca="false">IF(AND($M$31=0,AND($M$27&gt;0,$M$4&gt;0.1)),1,0)</f>
        <v>0</v>
      </c>
      <c r="I33" s="2" t="n">
        <v>1</v>
      </c>
      <c r="J33" s="2" t="s">
        <v>87</v>
      </c>
      <c r="K33" s="2"/>
      <c r="L33" s="2" t="s">
        <v>88</v>
      </c>
      <c r="M33" s="2" t="str">
        <f aca="false">IF(AND(INDEX($I$2:$I$49,$M$32)=1,$M$4&gt;=0,$M$7&gt;=0.1),IF($M$7&gt;=0.25," Og så sparer du "&amp;ROUND($M$7*100,0)&amp;"% op hver måned. Det er virkelig stærkt.",IF($M$7&gt;=0.15," Og du sparer "&amp;ROUND($M$7*100,0)&amp;"% op hver måned. Det er rigtig flot."," Og du sparer "&amp;ROUND($M$7*100,0)&amp;"% op hver måned. Det er præcis den vane, der bygger formue.")),"")</f>
        <v/>
      </c>
    </row>
    <row r="34" customFormat="false" ht="20.25" hidden="false" customHeight="true" outlineLevel="0" collapsed="false">
      <c r="B34" s="16" t="s">
        <v>89</v>
      </c>
      <c r="C34" s="30"/>
      <c r="D34" s="32" t="s">
        <v>86</v>
      </c>
      <c r="E34" s="31"/>
      <c r="H34" s="2" t="n">
        <f aca="false">IF(AND($M$10=1,$M$8&gt;=$M$9*1.5,$M$9&gt;0),1,0)</f>
        <v>0</v>
      </c>
      <c r="I34" s="2" t="n">
        <v>1</v>
      </c>
      <c r="J34" s="2" t="s">
        <v>90</v>
      </c>
      <c r="K34" s="2"/>
      <c r="L34" s="2"/>
      <c r="M34" s="2"/>
    </row>
    <row r="35" customFormat="false" ht="20.25" hidden="false" customHeight="true" outlineLevel="0" collapsed="false">
      <c r="B35" s="16" t="s">
        <v>91</v>
      </c>
      <c r="C35" s="30"/>
      <c r="D35" s="32" t="s">
        <v>86</v>
      </c>
      <c r="E35" s="31"/>
      <c r="H35" s="2" t="n">
        <f aca="false">IF(AND($M$10=1,$M$8&gt;=$M$9,$M$4&gt;=0.02,$M$4&lt;=0.2),1,0)</f>
        <v>0</v>
      </c>
      <c r="I35" s="2" t="n">
        <v>1</v>
      </c>
      <c r="J35" s="2" t="s">
        <v>92</v>
      </c>
      <c r="K35" s="2"/>
      <c r="L35" s="2"/>
      <c r="M35" s="2"/>
    </row>
    <row r="36" customFormat="false" ht="20.25" hidden="false" customHeight="true" outlineLevel="0" collapsed="false">
      <c r="B36" s="16" t="s">
        <v>93</v>
      </c>
      <c r="C36" s="30"/>
      <c r="D36" s="32" t="s">
        <v>86</v>
      </c>
      <c r="E36" s="31"/>
      <c r="H36" s="2" t="n">
        <f aca="false">IF(AND($M$10=0,$M$7&gt;=0.2,$M$7&lt;=0.5),1,0)</f>
        <v>0</v>
      </c>
      <c r="I36" s="2" t="n">
        <v>0</v>
      </c>
      <c r="J36" s="2" t="str">
        <f aca="false">"Du sparer "&amp;ROUND($M$7*100,0)&amp;"% af din indtægt op. Det er en sund økonomi, og du er godt på vej."</f>
        <v>Du sparer 0% af din indtægt op. Det er en sund økonomi, og du er godt på vej.</v>
      </c>
      <c r="K36" s="2"/>
      <c r="L36" s="2"/>
      <c r="M36" s="2"/>
    </row>
    <row r="37" customFormat="false" ht="20.25" hidden="false" customHeight="true" outlineLevel="0" collapsed="false">
      <c r="B37" s="16" t="s">
        <v>94</v>
      </c>
      <c r="C37" s="30"/>
      <c r="D37" s="32" t="s">
        <v>86</v>
      </c>
      <c r="E37" s="31"/>
      <c r="H37" s="2" t="n">
        <f aca="false">IF(AND($M$25=0,$M$24&gt;=5000,$M$26&gt;0),1,0)</f>
        <v>0</v>
      </c>
      <c r="I37" s="2" t="n">
        <v>1</v>
      </c>
      <c r="J37" s="2" t="s">
        <v>95</v>
      </c>
      <c r="K37" s="2"/>
      <c r="L37" s="2"/>
      <c r="M37" s="2"/>
    </row>
    <row r="38" customFormat="false" ht="15.75" hidden="false" customHeight="true" outlineLevel="0" collapsed="false">
      <c r="H38" s="2" t="n">
        <f aca="false">IF(AND($M$31=0,$M$4&lt;0.02),1,0)</f>
        <v>1</v>
      </c>
      <c r="I38" s="2" t="n">
        <v>1</v>
      </c>
      <c r="J38" s="2" t="s">
        <v>96</v>
      </c>
      <c r="K38" s="2"/>
      <c r="L38" s="2"/>
      <c r="M38" s="2"/>
    </row>
    <row r="39" customFormat="false" ht="23.25" hidden="false" customHeight="true" outlineLevel="0" collapsed="false">
      <c r="B39" s="28" t="s">
        <v>32</v>
      </c>
      <c r="C39" s="29" t="n">
        <f aca="false">SUM(C40:C42)</f>
        <v>0</v>
      </c>
      <c r="D39" s="28"/>
      <c r="E39" s="28"/>
      <c r="H39" s="2" t="n">
        <f aca="false">IF($M$4&gt;0.35,1,0)</f>
        <v>0</v>
      </c>
      <c r="I39" s="2" t="n">
        <v>1</v>
      </c>
      <c r="J39" s="2" t="s">
        <v>97</v>
      </c>
      <c r="K39" s="2"/>
      <c r="L39" s="2"/>
      <c r="M39" s="2"/>
    </row>
    <row r="40" customFormat="false" ht="20.25" hidden="false" customHeight="true" outlineLevel="0" collapsed="false">
      <c r="B40" s="16" t="s">
        <v>98</v>
      </c>
      <c r="C40" s="30"/>
      <c r="D40" s="32" t="s">
        <v>86</v>
      </c>
      <c r="E40" s="31"/>
      <c r="H40" s="2" t="n">
        <f aca="false">IF(AND($M$4&gt;0.2,$M$7&lt;0.1),1,0)</f>
        <v>0</v>
      </c>
      <c r="I40" s="2" t="n">
        <v>1</v>
      </c>
      <c r="J40" s="2" t="s">
        <v>99</v>
      </c>
      <c r="K40" s="2"/>
      <c r="L40" s="2"/>
      <c r="M40" s="2"/>
    </row>
    <row r="41" customFormat="false" ht="20.25" hidden="false" customHeight="true" outlineLevel="0" collapsed="false">
      <c r="B41" s="16" t="s">
        <v>100</v>
      </c>
      <c r="C41" s="30"/>
      <c r="D41" s="32" t="s">
        <v>101</v>
      </c>
      <c r="E41" s="31"/>
      <c r="H41" s="2" t="n">
        <f aca="false">IF(AND($M$4&gt;0.1,$M$6&lt;0.1),1,0)</f>
        <v>0</v>
      </c>
      <c r="I41" s="2" t="n">
        <v>1</v>
      </c>
      <c r="J41" s="2" t="s">
        <v>102</v>
      </c>
      <c r="K41" s="2"/>
      <c r="L41" s="2"/>
      <c r="M41" s="2"/>
    </row>
    <row r="42" customFormat="false" ht="20.25" hidden="false" customHeight="true" outlineLevel="0" collapsed="false">
      <c r="B42" s="16" t="s">
        <v>103</v>
      </c>
      <c r="C42" s="30"/>
      <c r="D42" s="32" t="s">
        <v>101</v>
      </c>
      <c r="E42" s="31"/>
      <c r="H42" s="2" t="n">
        <f aca="false">IF($M$4&gt;0.2,1,0)</f>
        <v>0</v>
      </c>
      <c r="I42" s="2" t="n">
        <v>1</v>
      </c>
      <c r="J42" s="2" t="s">
        <v>104</v>
      </c>
      <c r="K42" s="2"/>
      <c r="L42" s="2"/>
      <c r="M42" s="2"/>
    </row>
    <row r="43" customFormat="false" ht="15.75" hidden="false" customHeight="true" outlineLevel="0" collapsed="false">
      <c r="H43" s="2" t="n">
        <f aca="false">IF(AND($M$4&gt;0.05,$M$29&gt;=2),1,0)</f>
        <v>0</v>
      </c>
      <c r="I43" s="2" t="n">
        <v>1</v>
      </c>
      <c r="J43" s="2" t="s">
        <v>105</v>
      </c>
      <c r="K43" s="2"/>
      <c r="L43" s="2"/>
      <c r="M43" s="2"/>
    </row>
    <row r="44" customFormat="false" ht="23.25" hidden="false" customHeight="true" outlineLevel="0" collapsed="false">
      <c r="B44" s="28" t="s">
        <v>106</v>
      </c>
      <c r="C44" s="29" t="n">
        <f aca="false">SUM(C45:C48)</f>
        <v>0</v>
      </c>
      <c r="D44" s="28"/>
      <c r="E44" s="28"/>
      <c r="H44" s="2" t="n">
        <f aca="false">IF(AND($M$4&gt;0.05,$M$11&gt;0,$M$11&lt;0.25),1,0)</f>
        <v>0</v>
      </c>
      <c r="I44" s="2" t="n">
        <v>1</v>
      </c>
      <c r="J44" s="2" t="s">
        <v>107</v>
      </c>
      <c r="K44" s="2"/>
      <c r="L44" s="2"/>
      <c r="M44" s="2"/>
    </row>
    <row r="45" customFormat="false" ht="20.25" hidden="false" customHeight="true" outlineLevel="0" collapsed="false">
      <c r="B45" s="16" t="s">
        <v>108</v>
      </c>
      <c r="C45" s="30"/>
      <c r="D45" s="32" t="s">
        <v>86</v>
      </c>
      <c r="E45" s="31"/>
      <c r="H45" s="2" t="n">
        <f aca="false">IF($M$4&gt;0.05,1,0)</f>
        <v>0</v>
      </c>
      <c r="I45" s="2" t="n">
        <v>1</v>
      </c>
      <c r="J45" s="2" t="s">
        <v>109</v>
      </c>
      <c r="K45" s="2"/>
      <c r="L45" s="2"/>
      <c r="M45" s="2"/>
    </row>
    <row r="46" customFormat="false" ht="20.25" hidden="false" customHeight="true" outlineLevel="0" collapsed="false">
      <c r="B46" s="16" t="s">
        <v>110</v>
      </c>
      <c r="C46" s="30"/>
      <c r="D46" s="32" t="s">
        <v>86</v>
      </c>
      <c r="E46" s="31"/>
      <c r="H46" s="2" t="n">
        <f aca="false">IF(AND($M$16=0,$M$17&gt;0),1,0)</f>
        <v>0</v>
      </c>
      <c r="I46" s="2" t="n">
        <v>1</v>
      </c>
      <c r="J46" s="2" t="s">
        <v>111</v>
      </c>
      <c r="K46" s="2"/>
      <c r="L46" s="2"/>
      <c r="M46" s="2"/>
    </row>
    <row r="47" customFormat="false" ht="20.25" hidden="false" customHeight="true" outlineLevel="0" collapsed="false">
      <c r="B47" s="16" t="s">
        <v>112</v>
      </c>
      <c r="C47" s="30"/>
      <c r="D47" s="32" t="s">
        <v>86</v>
      </c>
      <c r="E47" s="31"/>
      <c r="H47" s="2" t="n">
        <f aca="false">IF($M$18&gt;0,1,0)</f>
        <v>0</v>
      </c>
      <c r="I47" s="2" t="n">
        <v>1</v>
      </c>
      <c r="J47" s="2" t="s">
        <v>113</v>
      </c>
      <c r="K47" s="2"/>
      <c r="L47" s="2"/>
      <c r="M47" s="2"/>
    </row>
    <row r="48" customFormat="false" ht="20.25" hidden="false" customHeight="true" outlineLevel="0" collapsed="false">
      <c r="B48" s="16" t="s">
        <v>114</v>
      </c>
      <c r="C48" s="30"/>
      <c r="D48" s="32" t="s">
        <v>86</v>
      </c>
      <c r="E48" s="31"/>
      <c r="H48" s="2" t="n">
        <f aca="false">IF(AND($M$5&lt;=0.4,$M$6&lt;=0.2),1,0)</f>
        <v>1</v>
      </c>
      <c r="I48" s="2" t="n">
        <v>1</v>
      </c>
      <c r="J48" s="2" t="s">
        <v>115</v>
      </c>
      <c r="K48" s="2"/>
      <c r="L48" s="2"/>
      <c r="M48" s="2"/>
    </row>
    <row r="49" customFormat="false" ht="15.75" hidden="false" customHeight="true" outlineLevel="0" collapsed="false">
      <c r="H49" s="2" t="n">
        <f aca="false">IF(1=1,1,0)</f>
        <v>1</v>
      </c>
      <c r="I49" s="2" t="n">
        <v>1</v>
      </c>
      <c r="J49" s="2" t="s">
        <v>116</v>
      </c>
      <c r="K49" s="2"/>
      <c r="L49" s="2"/>
      <c r="M49" s="2"/>
    </row>
    <row r="50" customFormat="false" ht="23.25" hidden="false" customHeight="true" outlineLevel="0" collapsed="false">
      <c r="B50" s="28" t="s">
        <v>117</v>
      </c>
      <c r="C50" s="29" t="n">
        <f aca="false">SUM(C51:C53)</f>
        <v>0</v>
      </c>
      <c r="D50" s="28"/>
      <c r="E50" s="28"/>
    </row>
    <row r="51" customFormat="false" ht="20.25" hidden="false" customHeight="true" outlineLevel="0" collapsed="false">
      <c r="B51" s="16" t="s">
        <v>118</v>
      </c>
      <c r="C51" s="30"/>
      <c r="D51" s="32" t="s">
        <v>86</v>
      </c>
      <c r="E51" s="31"/>
    </row>
    <row r="52" customFormat="false" ht="20.25" hidden="false" customHeight="true" outlineLevel="0" collapsed="false">
      <c r="B52" s="16" t="s">
        <v>119</v>
      </c>
      <c r="C52" s="30"/>
      <c r="D52" s="32" t="s">
        <v>86</v>
      </c>
      <c r="E52" s="31"/>
    </row>
    <row r="53" customFormat="false" ht="20.25" hidden="false" customHeight="true" outlineLevel="0" collapsed="false">
      <c r="B53" s="16" t="s">
        <v>120</v>
      </c>
      <c r="C53" s="30"/>
      <c r="D53" s="32" t="s">
        <v>101</v>
      </c>
      <c r="E53" s="31"/>
    </row>
    <row r="54" customFormat="false" ht="15.75" hidden="false" customHeight="true" outlineLevel="0" collapsed="false"/>
    <row r="55" customFormat="false" ht="23.25" hidden="false" customHeight="true" outlineLevel="0" collapsed="false">
      <c r="B55" s="28" t="s">
        <v>121</v>
      </c>
      <c r="C55" s="29" t="n">
        <f aca="false">SUM(C56:C58)</f>
        <v>0</v>
      </c>
      <c r="D55" s="28"/>
      <c r="E55" s="28"/>
    </row>
    <row r="56" customFormat="false" ht="20.25" hidden="false" customHeight="true" outlineLevel="0" collapsed="false">
      <c r="B56" s="16" t="s">
        <v>122</v>
      </c>
      <c r="C56" s="30"/>
      <c r="D56" s="32" t="s">
        <v>86</v>
      </c>
      <c r="E56" s="31"/>
    </row>
    <row r="57" customFormat="false" ht="20.25" hidden="false" customHeight="true" outlineLevel="0" collapsed="false">
      <c r="B57" s="16" t="s">
        <v>123</v>
      </c>
      <c r="C57" s="30"/>
      <c r="D57" s="32" t="s">
        <v>101</v>
      </c>
      <c r="E57" s="31"/>
    </row>
    <row r="58" customFormat="false" ht="20.25" hidden="false" customHeight="true" outlineLevel="0" collapsed="false">
      <c r="B58" s="16" t="s">
        <v>124</v>
      </c>
      <c r="C58" s="30"/>
      <c r="D58" s="32" t="s">
        <v>101</v>
      </c>
      <c r="E58" s="31"/>
    </row>
    <row r="59" customFormat="false" ht="15.75" hidden="false" customHeight="true" outlineLevel="0" collapsed="false"/>
    <row r="60" customFormat="false" ht="23.25" hidden="false" customHeight="true" outlineLevel="0" collapsed="false">
      <c r="B60" s="28" t="s">
        <v>125</v>
      </c>
      <c r="C60" s="29" t="n">
        <f aca="false">SUM(C61:C64)</f>
        <v>0</v>
      </c>
      <c r="D60" s="28"/>
      <c r="E60" s="28"/>
    </row>
    <row r="61" customFormat="false" ht="20.25" hidden="false" customHeight="true" outlineLevel="0" collapsed="false">
      <c r="B61" s="16" t="s">
        <v>126</v>
      </c>
      <c r="C61" s="30"/>
      <c r="D61" s="32" t="s">
        <v>101</v>
      </c>
      <c r="E61" s="31"/>
    </row>
    <row r="62" customFormat="false" ht="20.25" hidden="false" customHeight="true" outlineLevel="0" collapsed="false">
      <c r="B62" s="16" t="s">
        <v>127</v>
      </c>
      <c r="C62" s="30"/>
      <c r="D62" s="32" t="s">
        <v>101</v>
      </c>
      <c r="E62" s="31"/>
    </row>
    <row r="63" customFormat="false" ht="20.25" hidden="false" customHeight="true" outlineLevel="0" collapsed="false">
      <c r="B63" s="16" t="s">
        <v>128</v>
      </c>
      <c r="C63" s="30"/>
      <c r="D63" s="32" t="s">
        <v>101</v>
      </c>
      <c r="E63" s="31"/>
    </row>
    <row r="64" customFormat="false" ht="20.25" hidden="false" customHeight="true" outlineLevel="0" collapsed="false">
      <c r="B64" s="16" t="s">
        <v>129</v>
      </c>
      <c r="C64" s="30"/>
      <c r="D64" s="32" t="s">
        <v>86</v>
      </c>
      <c r="E64" s="31"/>
    </row>
    <row r="65" customFormat="false" ht="15.75" hidden="false" customHeight="true" outlineLevel="0" collapsed="false"/>
    <row r="66" customFormat="false" ht="23.25" hidden="false" customHeight="true" outlineLevel="0" collapsed="false">
      <c r="B66" s="28" t="s">
        <v>130</v>
      </c>
      <c r="C66" s="29" t="n">
        <f aca="false">SUM(C67:C70)</f>
        <v>0</v>
      </c>
      <c r="D66" s="28"/>
      <c r="E66" s="28"/>
    </row>
    <row r="67" customFormat="false" ht="20.25" hidden="false" customHeight="true" outlineLevel="0" collapsed="false">
      <c r="B67" s="16" t="s">
        <v>36</v>
      </c>
      <c r="C67" s="30"/>
      <c r="D67" s="32" t="s">
        <v>36</v>
      </c>
      <c r="E67" s="31"/>
    </row>
    <row r="68" customFormat="false" ht="20.25" hidden="false" customHeight="true" outlineLevel="0" collapsed="false">
      <c r="B68" s="16" t="s">
        <v>131</v>
      </c>
      <c r="C68" s="30"/>
      <c r="D68" s="32" t="s">
        <v>36</v>
      </c>
      <c r="E68" s="31"/>
    </row>
    <row r="69" customFormat="false" ht="20.25" hidden="false" customHeight="true" outlineLevel="0" collapsed="false">
      <c r="B69" s="16" t="s">
        <v>132</v>
      </c>
      <c r="C69" s="30"/>
      <c r="D69" s="32" t="s">
        <v>36</v>
      </c>
      <c r="E69" s="31"/>
    </row>
    <row r="70" customFormat="false" ht="20.25" hidden="false" customHeight="true" outlineLevel="0" collapsed="false">
      <c r="B70" s="16" t="s">
        <v>133</v>
      </c>
      <c r="C70" s="30"/>
      <c r="D70" s="32" t="s">
        <v>86</v>
      </c>
      <c r="E70" s="31"/>
    </row>
    <row r="71" customFormat="false" ht="15.75" hidden="false" customHeight="true" outlineLevel="0" collapsed="false"/>
    <row r="72" customFormat="false" ht="15.75" hidden="false" customHeight="true" outlineLevel="0" collapsed="false">
      <c r="B72" s="33" t="s">
        <v>134</v>
      </c>
    </row>
    <row r="73" customFormat="false" ht="15.75" hidden="false" customHeight="true" outlineLevel="0" collapsed="false"/>
    <row r="74" customFormat="false" ht="15.75" hidden="false" customHeight="true" outlineLevel="0" collapsed="false">
      <c r="B74" s="34" t="s">
        <v>135</v>
      </c>
    </row>
  </sheetData>
  <sheetProtection sheet="true" formatCells="false" formatColumns="false" formatRows="false"/>
  <mergeCells count="1">
    <mergeCell ref="B19:E19"/>
  </mergeCells>
  <dataValidations count="3">
    <dataValidation allowBlank="true" errorStyle="stop" operator="between" showDropDown="false" showErrorMessage="false" showInputMessage="false" sqref="D33:D37 D40:D42 D45:D48 D51:D53 D56:D58 D61:D64 D67:D70" type="list">
      <formula1>"Behov,Ønske,Opsparing"</formula1>
      <formula2>0</formula2>
    </dataValidation>
    <dataValidation allowBlank="true" error="Skriv et beløb i hele kroner, fx 4500" errorStyle="stop" errorTitle="Kun tal" operator="greaterThanOrEqual" showDropDown="false" showErrorMessage="false" showInputMessage="false" sqref="C27:C30 C33:C37 C40:C42 C45:C48 C51:C53 C56:C58 C61:C64 C67:C70" type="decimal">
      <formula1>0</formula1>
      <formula2>0</formula2>
    </dataValidation>
    <dataValidation allowBlank="true" error="Skriv en procent mellem 0% og 100%" errorStyle="stop" errorTitle="Opsparingsmål" operator="between" showDropDown="false" showErrorMessage="false" showInputMessage="false" sqref="C15" type="decimal">
      <formula1>0</formula1>
      <formula2>1</formula2>
    </dataValidation>
  </dataValidations>
  <hyperlinks>
    <hyperlink ref="B74" r:id="rId1" display="kronerogore.dk  ·  Gratis skabeloner til din privatøkonom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44"/>
  </cols>
  <sheetData>
    <row r="1" customFormat="false" ht="7.5" hidden="false" customHeight="true" outlineLevel="0" collapsed="false">
      <c r="A1" s="1"/>
      <c r="B1" s="1"/>
      <c r="C1" s="1"/>
      <c r="D1" s="1"/>
    </row>
    <row r="3" customFormat="false" ht="22.05" hidden="false" customHeight="false" outlineLevel="0" collapsed="false">
      <c r="B3" s="35" t="s">
        <v>136</v>
      </c>
    </row>
    <row r="5" customFormat="false" ht="15" hidden="false" customHeight="false" outlineLevel="0" collapsed="false">
      <c r="B5" s="36" t="s">
        <v>137</v>
      </c>
      <c r="C5" s="37" t="s">
        <v>138</v>
      </c>
    </row>
    <row r="7" customFormat="false" ht="15" hidden="false" customHeight="false" outlineLevel="0" collapsed="false">
      <c r="B7" s="36" t="s">
        <v>139</v>
      </c>
      <c r="C7" s="37" t="s">
        <v>140</v>
      </c>
    </row>
    <row r="9" customFormat="false" ht="15" hidden="false" customHeight="false" outlineLevel="0" collapsed="false">
      <c r="B9" s="36" t="s">
        <v>141</v>
      </c>
      <c r="C9" s="37" t="s">
        <v>142</v>
      </c>
    </row>
    <row r="11" customFormat="false" ht="15" hidden="false" customHeight="false" outlineLevel="0" collapsed="false">
      <c r="B11" s="36" t="s">
        <v>143</v>
      </c>
      <c r="C11" s="37" t="s">
        <v>144</v>
      </c>
    </row>
    <row r="13" customFormat="false" ht="15" hidden="false" customHeight="false" outlineLevel="0" collapsed="false">
      <c r="B13" s="36" t="s">
        <v>145</v>
      </c>
      <c r="C13" s="37" t="s">
        <v>146</v>
      </c>
    </row>
    <row r="16" customFormat="false" ht="15" hidden="false" customHeight="false" outlineLevel="0" collapsed="false">
      <c r="B16" s="13" t="s">
        <v>147</v>
      </c>
    </row>
    <row r="17" customFormat="false" ht="15" hidden="false" customHeight="false" outlineLevel="0" collapsed="false">
      <c r="B17" s="37" t="s">
        <v>69</v>
      </c>
      <c r="C17" s="38" t="n">
        <v>24500</v>
      </c>
      <c r="D17" s="34"/>
    </row>
    <row r="18" customFormat="false" ht="15" hidden="false" customHeight="false" outlineLevel="0" collapsed="false">
      <c r="B18" s="37" t="s">
        <v>85</v>
      </c>
      <c r="C18" s="38" t="n">
        <v>8200</v>
      </c>
      <c r="D18" s="34" t="s">
        <v>86</v>
      </c>
    </row>
    <row r="19" customFormat="false" ht="15" hidden="false" customHeight="false" outlineLevel="0" collapsed="false">
      <c r="B19" s="37" t="s">
        <v>98</v>
      </c>
      <c r="C19" s="38" t="n">
        <v>3200</v>
      </c>
      <c r="D19" s="34" t="s">
        <v>86</v>
      </c>
    </row>
    <row r="20" customFormat="false" ht="15" hidden="false" customHeight="false" outlineLevel="0" collapsed="false">
      <c r="B20" s="37" t="s">
        <v>36</v>
      </c>
      <c r="C20" s="38" t="n">
        <v>2500</v>
      </c>
      <c r="D20" s="34" t="s">
        <v>36</v>
      </c>
    </row>
    <row r="22" customFormat="false" ht="15" hidden="false" customHeight="false" outlineLevel="0" collapsed="false">
      <c r="B22" s="39" t="s">
        <v>148</v>
      </c>
    </row>
    <row r="24" customFormat="false" ht="15" hidden="false" customHeight="false" outlineLevel="0" collapsed="false">
      <c r="B24" s="34" t="s">
        <v>149</v>
      </c>
    </row>
  </sheetData>
  <hyperlinks>
    <hyperlink ref="B24" r:id="rId1" display="kronerogore.dk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2026-10-03T00:00:26Z</dcterms:created>
  <dc:creator>Kroner &amp; Øre</dc:creator>
  <dc:description/>
  <dc:language>en-US</dc:language>
  <cp:lastModifiedBy/>
  <dcterms:modified xsi:type="dcterms:W3CDTF">2026-10-03T00:00:26Z</dcterms:modified>
  <cp:revision>0</cp:revision>
  <dc:subject/>
  <dc:title>Budgetskema 2026 - Kroner &amp; Øre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