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Årsregnskab" sheetId="1" state="visible" r:id="rId3"/>
    <sheet name="Sådan gør du" sheetId="2" state="visible" r:id="rId4"/>
  </sheets>
  <definedNames>
    <definedName function="false" hidden="false" localSheetId="0" name="_xlnm.Print_Area" vbProcedure="false">Årsregnskab!$A$1:$S$71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<sst xmlns="http://schemas.openxmlformats.org/spreadsheetml/2006/main" count="157" uniqueCount="141">
  <si>
    <t xml:space="preserve">KRONER &amp; ØRE</t>
  </si>
  <si>
    <t xml:space="preserve">NM</t>
  </si>
  <si>
    <t xml:space="preserve">Start med at skrive dit budget i kolonnen Budget/md. Så udfylder du én måned ad gangen.</t>
  </si>
  <si>
    <t xml:space="preserve">Dit regnskab for året</t>
  </si>
  <si>
    <t xml:space="preserve">BUDINC</t>
  </si>
  <si>
    <t xml:space="preserve">Dit budget er klar. Udfyld den første måned, når den er slut, så får du din første kommentar her.</t>
  </si>
  <si>
    <t xml:space="preserve">Udfyld de cremefarvede felter. Resten regner sig selv.</t>
  </si>
  <si>
    <t xml:space="preserve">INC</t>
  </si>
  <si>
    <t xml:space="preserve">Første måned endte i minus. Kig efter poster med Over i Status-kolonnen, og start der.</t>
  </si>
  <si>
    <t xml:space="preserve">År</t>
  </si>
  <si>
    <t xml:space="preserve">LEFT</t>
  </si>
  <si>
    <t xml:space="preserve">Første måned er i hus. Bliv ved, så kan vi snart se et mønster i dit forbrug.</t>
  </si>
  <si>
    <t xml:space="preserve">BUDLEFT</t>
  </si>
  <si>
    <t xml:space="preserve">Budget/md</t>
  </si>
  <si>
    <t xml:space="preserve">Jan</t>
  </si>
  <si>
    <t xml:space="preserve">Feb</t>
  </si>
  <si>
    <t xml:space="preserve">Mar</t>
  </si>
  <si>
    <t xml:space="preserve">Apr</t>
  </si>
  <si>
    <t xml:space="preserve">Maj</t>
  </si>
  <si>
    <t xml:space="preserve">Jun</t>
  </si>
  <si>
    <t xml:space="preserve">Jul</t>
  </si>
  <si>
    <t xml:space="preserve">Aug</t>
  </si>
  <si>
    <t xml:space="preserve">Sep</t>
  </si>
  <si>
    <t xml:space="preserve">Okt</t>
  </si>
  <si>
    <t xml:space="preserve">Nov</t>
  </si>
  <si>
    <t xml:space="preserve">Dec</t>
  </si>
  <si>
    <t xml:space="preserve">Gns./md</t>
  </si>
  <si>
    <t xml:space="preserve">Hele året</t>
  </si>
  <si>
    <t xml:space="preserve">Status</t>
  </si>
  <si>
    <t xml:space="preserve">T</t>
  </si>
  <si>
    <t xml:space="preserve">Indtægter</t>
  </si>
  <si>
    <t xml:space="preserve">MINUS</t>
  </si>
  <si>
    <t xml:space="preserve">Udgifter og opsparing</t>
  </si>
  <si>
    <t xml:space="preserve">SAVE</t>
  </si>
  <si>
    <t xml:space="preserve">S</t>
  </si>
  <si>
    <t xml:space="preserve">Tilbage</t>
  </si>
  <si>
    <t xml:space="preserve">MAXD</t>
  </si>
  <si>
    <t xml:space="preserve">OVERN</t>
  </si>
  <si>
    <t xml:space="preserve">Flere områder ligger over budget. Måske er budgettet for stramt, og det er helt fint at gøre det mere realistisk.</t>
  </si>
  <si>
    <t xml:space="preserve">TOTLEFT</t>
  </si>
  <si>
    <t xml:space="preserve">DET SIGER DINE TAL</t>
  </si>
  <si>
    <t xml:space="preserve">BEST</t>
  </si>
  <si>
    <t xml:space="preserve">Her er, hvad vi lægger mærke til i dit regnskab:</t>
  </si>
  <si>
    <t xml:space="preserve">BUDEXP</t>
  </si>
  <si>
    <t xml:space="preserve">EXPDIFF</t>
  </si>
  <si>
    <t xml:space="preserve">INCDIFF</t>
  </si>
  <si>
    <t xml:space="preserve">WORST</t>
  </si>
  <si>
    <t xml:space="preserve">Du sparer ikke op endnu. Prøv med et fast beløb hver måned, også selvom det er lille.</t>
  </si>
  <si>
    <t xml:space="preserve">START HER  ↓</t>
  </si>
  <si>
    <t xml:space="preserve">UDE</t>
  </si>
  <si>
    <t xml:space="preserve">Husk en buffer til det uforudsete, fx tandlægen eller en ny vaskemaskine.</t>
  </si>
  <si>
    <t xml:space="preserve">DAG</t>
  </si>
  <si>
    <t xml:space="preserve">Du kommer lige rundt hver måned. Det holder, så længe der ikke kommer overraskelser.</t>
  </si>
  <si>
    <t xml:space="preserve">ABO</t>
  </si>
  <si>
    <t xml:space="preserve">Overskuddet er faldet de seneste måneder. Tjek, om der er kommet nye faste udgifter til.</t>
  </si>
  <si>
    <t xml:space="preserve">Post</t>
  </si>
  <si>
    <t xml:space="preserve">BIL</t>
  </si>
  <si>
    <t xml:space="preserve">INDTÆGTER (EFTER SKAT)</t>
  </si>
  <si>
    <t xml:space="preserve">BUF</t>
  </si>
  <si>
    <t xml:space="preserve">Løn</t>
  </si>
  <si>
    <t xml:space="preserve">INV</t>
  </si>
  <si>
    <t xml:space="preserve">SU, dagpenge eller pension</t>
  </si>
  <si>
    <t xml:space="preserve">OPS</t>
  </si>
  <si>
    <t xml:space="preserve">Du har overskud og afdrager på gæld. Ekstra afdrag på den dyreste gæld er en sikker gevinst.</t>
  </si>
  <si>
    <t xml:space="preserve">Børne- og ungeydelse, tilskud</t>
  </si>
  <si>
    <t xml:space="preserve">GLD</t>
  </si>
  <si>
    <t xml:space="preserve">Anden indkomst</t>
  </si>
  <si>
    <t xml:space="preserve">UNB</t>
  </si>
  <si>
    <t xml:space="preserve">LASTLEFT</t>
  </si>
  <si>
    <t xml:space="preserve">Dit overskud er steget de seneste måneder. Det, du gør, virker.</t>
  </si>
  <si>
    <t xml:space="preserve">BOLIG</t>
  </si>
  <si>
    <t xml:space="preserve">Bolig</t>
  </si>
  <si>
    <t xml:space="preserve">FIRST2</t>
  </si>
  <si>
    <t xml:space="preserve">Husleje eller boliglån</t>
  </si>
  <si>
    <t xml:space="preserve">LAST2</t>
  </si>
  <si>
    <t xml:space="preserve">Fællesudgifter og ejendomsskat</t>
  </si>
  <si>
    <t xml:space="preserve">NAME</t>
  </si>
  <si>
    <t xml:space="preserve">El, vand og varme</t>
  </si>
  <si>
    <t xml:space="preserve">BESTM</t>
  </si>
  <si>
    <t xml:space="preserve">Internet og mobil</t>
  </si>
  <si>
    <t xml:space="preserve">HIGHS</t>
  </si>
  <si>
    <t xml:space="preserve">Næsten perfekt. Kun ét område ligger en smule over budget.</t>
  </si>
  <si>
    <t xml:space="preserve">Forsikringer</t>
  </si>
  <si>
    <t xml:space="preserve">WORSTM</t>
  </si>
  <si>
    <t xml:space="preserve">Tre måneder med regnskab. Nu begynder tallene at sige noget om dit forbrug.</t>
  </si>
  <si>
    <t xml:space="preserve">IDX</t>
  </si>
  <si>
    <t xml:space="preserve">MAD</t>
  </si>
  <si>
    <t xml:space="preserve">Mad</t>
  </si>
  <si>
    <t xml:space="preserve">ROS</t>
  </si>
  <si>
    <t xml:space="preserve">Sidste måned var bedre end dit gennemsnit. Godt gået.</t>
  </si>
  <si>
    <t xml:space="preserve">Dagligvarer</t>
  </si>
  <si>
    <t xml:space="preserve">Du sparer godt op på kontoen. Overvej, om en del kan investeres på længere sigt.</t>
  </si>
  <si>
    <t xml:space="preserve">Takeaway og restaurant</t>
  </si>
  <si>
    <t xml:space="preserve">Du investerer hver måned. Tiden arbejder for dig, så bliv ved.</t>
  </si>
  <si>
    <t xml:space="preserve">Frokost og kaffe ude</t>
  </si>
  <si>
    <t xml:space="preserve">Du har god luft hver måned. Flyt noget af overskuddet til opsparing, før det bliver brugt.</t>
  </si>
  <si>
    <t xml:space="preserve">Du har lidt luft hver måned. En fast overførsel til opsparing samme dag, som lønnen kommer, gør det nemt.</t>
  </si>
  <si>
    <t xml:space="preserve">TRANSPORT</t>
  </si>
  <si>
    <t xml:space="preserve">Transport</t>
  </si>
  <si>
    <t xml:space="preserve">Offentlig transport</t>
  </si>
  <si>
    <t xml:space="preserve">Godt. Du har penge til overs. Beslut, hvad de skal bruges til, før måneden starter.</t>
  </si>
  <si>
    <t xml:space="preserve">Bil: brændstof eller opladning</t>
  </si>
  <si>
    <t xml:space="preserve">Bil: forsikring, afgift og service</t>
  </si>
  <si>
    <t xml:space="preserve">Cykel og andet</t>
  </si>
  <si>
    <t xml:space="preserve">BØRN OG KÆLEDYR</t>
  </si>
  <si>
    <t xml:space="preserve">Børn og kæledyr</t>
  </si>
  <si>
    <t xml:space="preserve">Institution og SFO</t>
  </si>
  <si>
    <t xml:space="preserve">Børns fritid og tøj</t>
  </si>
  <si>
    <t xml:space="preserve">Kæledyr</t>
  </si>
  <si>
    <t xml:space="preserve">FASTE AFTALER</t>
  </si>
  <si>
    <t xml:space="preserve">Faste aftaler</t>
  </si>
  <si>
    <t xml:space="preserve">A-kasse og fagforening</t>
  </si>
  <si>
    <t xml:space="preserve">Streaming og abonnementer</t>
  </si>
  <si>
    <t xml:space="preserve">Fitness og sport</t>
  </si>
  <si>
    <t xml:space="preserve">DIG SELV OG FRITID</t>
  </si>
  <si>
    <t xml:space="preserve">Dig selv og fritid</t>
  </si>
  <si>
    <t xml:space="preserve">Tøj og personlig pleje</t>
  </si>
  <si>
    <t xml:space="preserve">Gaver og fester</t>
  </si>
  <si>
    <t xml:space="preserve">Oplevelser og hobbyer</t>
  </si>
  <si>
    <t xml:space="preserve">Sundhed, tandlæge og medicin</t>
  </si>
  <si>
    <t xml:space="preserve">OPSPARING OG GÆLD</t>
  </si>
  <si>
    <t xml:space="preserve">Afdrag på gæld</t>
  </si>
  <si>
    <t xml:space="preserve">Opsparing</t>
  </si>
  <si>
    <t xml:space="preserve">Investering og aktiesparekonto</t>
  </si>
  <si>
    <t xml:space="preserve">Buffer til det uforudsete</t>
  </si>
  <si>
    <t xml:space="preserve">Afdrag på lån og kreditkort</t>
  </si>
  <si>
    <t xml:space="preserve">Færdig med måneden? Scroll op, og se, hvad dine tal siger.</t>
  </si>
  <si>
    <t xml:space="preserve">kronerogore.dk  ·  Gratis skabeloner til din privatøkonomi</t>
  </si>
  <si>
    <t xml:space="preserve">Udfyldte måneder (hjælperække)</t>
  </si>
  <si>
    <t xml:space="preserve">Sådan bruger du regnskabet</t>
  </si>
  <si>
    <t xml:space="preserve">1. Skriv dit budget</t>
  </si>
  <si>
    <t xml:space="preserve">Udfyld kolonnen Budget/md én gang. Har du vores budgetskema, så kopiér tallene derfra.</t>
  </si>
  <si>
    <t xml:space="preserve">2. Én måned ad gangen</t>
  </si>
  <si>
    <t xml:space="preserve">Sidst på måneden skriver du det faktiske forbrug i månedens kolonne. Brug kontoudtoget.</t>
  </si>
  <si>
    <t xml:space="preserve">3. Tjek Status</t>
  </si>
  <si>
    <t xml:space="preserve">✓ OK betyder, at du i gennemsnit holder budgettet. Over betyder, at du bruger mere end planlagt.</t>
  </si>
  <si>
    <t xml:space="preserve">4. Læs 'Det siger dine tal'</t>
  </si>
  <si>
    <t xml:space="preserve">Øverst får du en kort kommentar til dit regnskab. Den bliver skarpere, jo flere måneder du udfylder.</t>
  </si>
  <si>
    <t xml:space="preserve">Eksempel</t>
  </si>
  <si>
    <t xml:space="preserve">Budget for Dagligvarer: 3.200 kr. Bruger du i gennemsnit 3.450 kr., står der Over ud for posten.</t>
  </si>
  <si>
    <t xml:space="preserve">kronerogore.dk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</si>
</sst>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;\-#,##0;\-"/>
    <numFmt numFmtId="166" formatCode="#,##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FFFFFF"/>
      <name val="Arial"/>
      <family val="0"/>
      <charset val="1"/>
    </font>
    <font>
      <b val="true"/>
      <sz val="9"/>
      <color rgb="FF111111"/>
      <name val="Arial"/>
      <family val="0"/>
      <charset val="1"/>
    </font>
    <font>
      <b val="true"/>
      <sz val="20"/>
      <color rgb="FF111111"/>
      <name val="Arial"/>
      <family val="0"/>
      <charset val="1"/>
    </font>
    <font>
      <sz val="10"/>
      <color rgb="FF8A8A8A"/>
      <name val="Arial"/>
      <family val="0"/>
      <charset val="1"/>
    </font>
    <font>
      <b val="true"/>
      <sz val="10"/>
      <color rgb="FF111111"/>
      <name val="Arial"/>
      <family val="0"/>
      <charset val="1"/>
    </font>
    <font>
      <b val="true"/>
      <sz val="9"/>
      <color rgb="FF8A8A8A"/>
      <name val="Arial"/>
      <family val="0"/>
      <charset val="1"/>
    </font>
    <font>
      <sz val="10"/>
      <color rgb="FF111111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111111"/>
      <name val="Arial"/>
      <family val="0"/>
      <charset val="1"/>
    </font>
    <font>
      <sz val="9"/>
      <color rgb="FF8A8A8A"/>
      <name val="Arial"/>
      <family val="0"/>
      <charset val="1"/>
    </font>
    <font>
      <b val="true"/>
      <sz val="12"/>
      <color rgb="FF1111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8"/>
      <color rgb="FF1111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9B800"/>
        <bgColor rgb="FFFF9900"/>
      </patternFill>
    </fill>
    <fill>
      <patternFill patternType="solid">
        <fgColor rgb="FFFDF1E3"/>
        <bgColor rgb="FFF3F3F3"/>
      </patternFill>
    </fill>
    <fill>
      <patternFill patternType="solid">
        <fgColor rgb="FF111111"/>
        <bgColor rgb="FF000000"/>
      </patternFill>
    </fill>
    <fill>
      <patternFill patternType="solid">
        <fgColor rgb="FFF3F3F3"/>
        <bgColor rgb="FFFDF1E3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E2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true">
      <alignment horizontal="center" vertical="center" textRotation="0" wrapText="false" indent="0" shrinkToFit="false"/>
      <protection locked="fals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5" fontId="12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4" fillId="3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8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8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10" fillId="3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78787"/>
      <rgbColor rgb="FF9999FF"/>
      <rgbColor rgb="FF993366"/>
      <rgbColor rgb="FFFDF1E3"/>
      <rgbColor rgb="FFF3F3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2E2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9B800"/>
      <rgbColor rgb="FFFF9900"/>
      <rgbColor rgb="FFFF6600"/>
      <rgbColor rgb="FF666699"/>
      <rgbColor rgb="FF8A8A8A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Tilbage hver måned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f9b800"/>
            </a:solidFill>
            <a:ln w="0">
              <a:solidFill>
                <a:srgbClr val="f9b80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Årsregnskab!$D$7:$O$7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Maj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Okt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Årsregnskab!$D$11:$O$11</c:f>
              <c:numCache>
                <c:formatCode>#,##0;\-#,##0;\-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18179073"/>
        <c:axId val="9801838"/>
      </c:barChart>
      <c:catAx>
        <c:axId val="1817907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01838"/>
        <c:crosses val="autoZero"/>
        <c:auto val="1"/>
        <c:lblAlgn val="ctr"/>
        <c:lblOffset val="100"/>
        <c:noMultiLvlLbl val="0"/>
      </c:catAx>
      <c:valAx>
        <c:axId val="9801838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179073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72</xdr:row>
      <xdr:rowOff>0</xdr:rowOff>
    </xdr:from>
    <xdr:to>
      <xdr:col>11</xdr:col>
      <xdr:colOff>38160</xdr:colOff>
      <xdr:row>85</xdr:row>
      <xdr:rowOff>43200</xdr:rowOff>
    </xdr:to>
    <xdr:graphicFrame>
      <xdr:nvGraphicFramePr>
        <xdr:cNvPr id="0" name="Chart 1"/>
        <xdr:cNvGraphicFramePr/>
      </xdr:nvGraphicFramePr>
      <xdr:xfrm>
        <a:off x="141120" y="17726040"/>
        <a:ext cx="863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kronerogore.dk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kronerogore.dk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B9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0" topLeftCell="C1" activePane="topRight" state="frozen"/>
      <selection pane="topLeft" activeCell="A1" activeCellId="0" sqref="A1"/>
      <selection pane="topRight" activeCell="C24" activeCellId="0" sqref="C2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3" min="3" style="0" width="12"/>
    <col collapsed="false" customWidth="true" hidden="false" outlineLevel="0" max="15" min="4" style="0" width="9.51"/>
    <col collapsed="false" customWidth="true" hidden="false" outlineLevel="0" max="16" min="16" style="0" width="11"/>
    <col collapsed="false" customWidth="true" hidden="false" outlineLevel="0" max="17" min="17" style="0" width="12"/>
    <col collapsed="false" customWidth="true" hidden="false" outlineLevel="0" max="18" min="18" style="0" width="10"/>
    <col collapsed="false" customWidth="true" hidden="false" outlineLevel="0" max="19" min="19" style="0" width="2"/>
    <col collapsed="false" customWidth="true" hidden="true" outlineLevel="0" max="28" min="20" style="0" width="1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  <c r="X1" s="2"/>
      <c r="Y1" s="2"/>
      <c r="Z1" s="2"/>
      <c r="AA1" s="2"/>
      <c r="AB1" s="2"/>
    </row>
    <row r="2" customFormat="false" ht="15.75" hidden="false" customHeight="true" outlineLevel="0" collapsed="false">
      <c r="R2" s="3" t="s">
        <v>0</v>
      </c>
      <c r="T2" s="2"/>
      <c r="U2" s="2"/>
      <c r="V2" s="2"/>
      <c r="W2" s="2"/>
      <c r="X2" s="2" t="s">
        <v>1</v>
      </c>
      <c r="Y2" s="2" t="n">
        <f aca="false">$Q$97</f>
        <v>0</v>
      </c>
      <c r="Z2" s="2" t="n">
        <f aca="false">IF(AND($Y$2=0,$Y$3=0),1,0)</f>
        <v>1</v>
      </c>
      <c r="AA2" s="2" t="n">
        <v>0</v>
      </c>
      <c r="AB2" s="2" t="s">
        <v>2</v>
      </c>
    </row>
    <row r="3" customFormat="false" ht="31.5" hidden="false" customHeight="true" outlineLevel="0" collapsed="false">
      <c r="B3" s="4" t="s">
        <v>3</v>
      </c>
      <c r="T3" s="2"/>
      <c r="U3" s="2"/>
      <c r="V3" s="2"/>
      <c r="W3" s="2"/>
      <c r="X3" s="2" t="s">
        <v>4</v>
      </c>
      <c r="Y3" s="5" t="n">
        <f aca="false">$C$8</f>
        <v>0</v>
      </c>
      <c r="Z3" s="2" t="n">
        <f aca="false">IF($Y$2=0,1,0)</f>
        <v>1</v>
      </c>
      <c r="AA3" s="2" t="n">
        <v>0</v>
      </c>
      <c r="AB3" s="2" t="s">
        <v>5</v>
      </c>
    </row>
    <row r="4" customFormat="false" ht="15.75" hidden="false" customHeight="true" outlineLevel="0" collapsed="false">
      <c r="B4" s="6" t="s">
        <v>6</v>
      </c>
      <c r="T4" s="2"/>
      <c r="U4" s="2"/>
      <c r="V4" s="2"/>
      <c r="W4" s="2"/>
      <c r="X4" s="2" t="s">
        <v>7</v>
      </c>
      <c r="Y4" s="5" t="n">
        <f aca="false">$P$8</f>
        <v>0</v>
      </c>
      <c r="Z4" s="2" t="n">
        <f aca="false">IF(AND($Y$2=1,$Y$5&lt;0),1,0)</f>
        <v>0</v>
      </c>
      <c r="AA4" s="2" t="n">
        <v>0</v>
      </c>
      <c r="AB4" s="2" t="s">
        <v>8</v>
      </c>
    </row>
    <row r="5" customFormat="false" ht="19.5" hidden="false" customHeight="true" outlineLevel="0" collapsed="false">
      <c r="B5" s="7" t="s">
        <v>9</v>
      </c>
      <c r="C5" s="8" t="n">
        <v>2026</v>
      </c>
      <c r="T5" s="2"/>
      <c r="U5" s="2"/>
      <c r="V5" s="2"/>
      <c r="W5" s="2"/>
      <c r="X5" s="2" t="s">
        <v>10</v>
      </c>
      <c r="Y5" s="5" t="n">
        <f aca="false">$P$11</f>
        <v>0</v>
      </c>
      <c r="Z5" s="2" t="n">
        <f aca="false">IF($Y$2=1,1,0)</f>
        <v>0</v>
      </c>
      <c r="AA5" s="2" t="n">
        <v>1</v>
      </c>
      <c r="AB5" s="2" t="s">
        <v>11</v>
      </c>
    </row>
    <row r="6" customFormat="false" ht="9.75" hidden="false" customHeight="true" outlineLevel="0" collapsed="false">
      <c r="T6" s="2"/>
      <c r="U6" s="2"/>
      <c r="V6" s="2"/>
      <c r="W6" s="2"/>
      <c r="X6" s="2" t="s">
        <v>12</v>
      </c>
      <c r="Y6" s="5" t="n">
        <f aca="false">$C$11</f>
        <v>0</v>
      </c>
      <c r="Z6" s="2" t="n">
        <f aca="false">IF(AND($Y$8&gt;=3,$Y$5&lt;0),1,0)</f>
        <v>0</v>
      </c>
      <c r="AA6" s="2" t="n">
        <v>0</v>
      </c>
      <c r="AB6" s="2" t="str">
        <f aca="false">"Du har været i minus i "&amp;$Y$8&amp;" måneder, og i gennemsnit bruger du mere, end du tjener. Start med de største poster."</f>
        <v>Du har været i minus i 0 måneder, og i gennemsnit bruger du mere, end du tjener. Start med de største poster.</v>
      </c>
    </row>
    <row r="7" customFormat="false" ht="18" hidden="false" customHeight="true" outlineLevel="0" collapsed="false">
      <c r="B7" s="9"/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  <c r="H7" s="10" t="s">
        <v>18</v>
      </c>
      <c r="I7" s="10" t="s">
        <v>19</v>
      </c>
      <c r="J7" s="10" t="s">
        <v>20</v>
      </c>
      <c r="K7" s="10" t="s">
        <v>21</v>
      </c>
      <c r="L7" s="10" t="s">
        <v>22</v>
      </c>
      <c r="M7" s="10" t="s">
        <v>23</v>
      </c>
      <c r="N7" s="10" t="s">
        <v>24</v>
      </c>
      <c r="O7" s="10" t="s">
        <v>25</v>
      </c>
      <c r="P7" s="10" t="s">
        <v>26</v>
      </c>
      <c r="Q7" s="10" t="s">
        <v>27</v>
      </c>
      <c r="R7" s="11" t="s">
        <v>28</v>
      </c>
      <c r="T7" s="2"/>
      <c r="U7" s="2"/>
      <c r="V7" s="2"/>
      <c r="W7" s="2"/>
      <c r="X7" s="2" t="s">
        <v>29</v>
      </c>
      <c r="Y7" s="2" t="n">
        <f aca="false">IF($P$8=0,0,$P$11/$P$8)</f>
        <v>0</v>
      </c>
      <c r="Z7" s="2" t="n">
        <f aca="false">IF(AND($Y$5&lt;0,$Y$19&gt;1500),1,0)</f>
        <v>0</v>
      </c>
      <c r="AA7" s="2" t="n">
        <v>0</v>
      </c>
      <c r="AB7" s="2" t="str">
        <f aca="false">"Du er i minus i gennemsnit, og mad ude koster "&amp;IF(ROUND($Y$19,0)&gt;=1000,INT(ROUND($Y$19,0)/1000)&amp;"."&amp;RIGHT("00"&amp;MOD(ROUND($Y$19,0),1000),3),ROUND($Y$19,0)&amp;"")&amp;" kr. om måneden. Der ligger din hurtigste gevinst."</f>
        <v>Du er i minus i gennemsnit, og mad ude koster 0 kr. om måneden. Der ligger din hurtigste gevinst.</v>
      </c>
    </row>
    <row r="8" customFormat="false" ht="19.5" hidden="false" customHeight="true" outlineLevel="0" collapsed="false">
      <c r="B8" s="12" t="s">
        <v>30</v>
      </c>
      <c r="C8" s="13" t="n">
        <f aca="false">C23</f>
        <v>0</v>
      </c>
      <c r="D8" s="14" t="n">
        <f aca="false">D23</f>
        <v>0</v>
      </c>
      <c r="E8" s="14" t="n">
        <f aca="false">E23</f>
        <v>0</v>
      </c>
      <c r="F8" s="14" t="n">
        <f aca="false">F23</f>
        <v>0</v>
      </c>
      <c r="G8" s="14" t="n">
        <f aca="false">G23</f>
        <v>0</v>
      </c>
      <c r="H8" s="14" t="n">
        <f aca="false">H23</f>
        <v>0</v>
      </c>
      <c r="I8" s="14" t="n">
        <f aca="false">I23</f>
        <v>0</v>
      </c>
      <c r="J8" s="14" t="n">
        <f aca="false">J23</f>
        <v>0</v>
      </c>
      <c r="K8" s="14" t="n">
        <f aca="false">K23</f>
        <v>0</v>
      </c>
      <c r="L8" s="14" t="n">
        <f aca="false">L23</f>
        <v>0</v>
      </c>
      <c r="M8" s="14" t="n">
        <f aca="false">M23</f>
        <v>0</v>
      </c>
      <c r="N8" s="14" t="n">
        <f aca="false">N23</f>
        <v>0</v>
      </c>
      <c r="O8" s="14" t="n">
        <f aca="false">O23</f>
        <v>0</v>
      </c>
      <c r="P8" s="14" t="n">
        <f aca="false">IF($Q$97=0,0,Q8/$Q$97)</f>
        <v>0</v>
      </c>
      <c r="Q8" s="14" t="n">
        <f aca="false">Q23</f>
        <v>0</v>
      </c>
      <c r="R8" s="15" t="str">
        <f aca="false">IF(OR($Q$97=0,C8=0),"",IF(P8&gt;=C8,"✓ OK","Under"))</f>
        <v/>
      </c>
      <c r="T8" s="2"/>
      <c r="U8" s="2"/>
      <c r="V8" s="2"/>
      <c r="W8" s="2"/>
      <c r="X8" s="2" t="s">
        <v>31</v>
      </c>
      <c r="Y8" s="2" t="n">
        <f aca="false">COUNTIF($D$11:$O$11,"&lt;0")</f>
        <v>0</v>
      </c>
      <c r="Z8" s="2" t="n">
        <f aca="false">IF($Y$5&lt;0,1,0)</f>
        <v>0</v>
      </c>
      <c r="AA8" s="2" t="n">
        <v>0</v>
      </c>
      <c r="AB8" s="2" t="str">
        <f aca="false">"I gennemsnit bruger du "&amp;IF(ROUND(-$Y$5,0)&gt;=1000,INT(ROUND(-$Y$5,0)/1000)&amp;"."&amp;RIGHT("00"&amp;MOD(ROUND(-$Y$5,0),1000),3),ROUND(-$Y$5,0)&amp;"")&amp;" kr. mere, end du tjener hver måned. Start med den post, der ligger mest over budget."</f>
        <v>I gennemsnit bruger du 0 kr. mere, end du tjener hver måned. Start med den post, der ligger mest over budget.</v>
      </c>
    </row>
    <row r="9" customFormat="false" ht="19.5" hidden="false" customHeight="true" outlineLevel="0" collapsed="false">
      <c r="B9" s="12" t="s">
        <v>32</v>
      </c>
      <c r="C9" s="13" t="n">
        <f aca="false">C29+C36+C41+C47+C52+C57+C63</f>
        <v>0</v>
      </c>
      <c r="D9" s="14" t="n">
        <f aca="false">D29+D36+D41+D47+D52+D57+D63</f>
        <v>0</v>
      </c>
      <c r="E9" s="14" t="n">
        <f aca="false">E29+E36+E41+E47+E52+E57+E63</f>
        <v>0</v>
      </c>
      <c r="F9" s="14" t="n">
        <f aca="false">F29+F36+F41+F47+F52+F57+F63</f>
        <v>0</v>
      </c>
      <c r="G9" s="14" t="n">
        <f aca="false">G29+G36+G41+G47+G52+G57+G63</f>
        <v>0</v>
      </c>
      <c r="H9" s="14" t="n">
        <f aca="false">H29+H36+H41+H47+H52+H57+H63</f>
        <v>0</v>
      </c>
      <c r="I9" s="14" t="n">
        <f aca="false">I29+I36+I41+I47+I52+I57+I63</f>
        <v>0</v>
      </c>
      <c r="J9" s="14" t="n">
        <f aca="false">J29+J36+J41+J47+J52+J57+J63</f>
        <v>0</v>
      </c>
      <c r="K9" s="14" t="n">
        <f aca="false">K29+K36+K41+K47+K52+K57+K63</f>
        <v>0</v>
      </c>
      <c r="L9" s="14" t="n">
        <f aca="false">L29+L36+L41+L47+L52+L57+L63</f>
        <v>0</v>
      </c>
      <c r="M9" s="14" t="n">
        <f aca="false">M29+M36+M41+M47+M52+M57+M63</f>
        <v>0</v>
      </c>
      <c r="N9" s="14" t="n">
        <f aca="false">N29+N36+N41+N47+N52+N57+N63</f>
        <v>0</v>
      </c>
      <c r="O9" s="14" t="n">
        <f aca="false">O29+O36+O41+O47+O52+O57+O63</f>
        <v>0</v>
      </c>
      <c r="P9" s="14" t="n">
        <f aca="false">IF($Q$97=0,0,Q9/$Q$97)</f>
        <v>0</v>
      </c>
      <c r="Q9" s="14" t="n">
        <f aca="false">Q29+Q36+Q41+Q47+Q52+Q57+Q63</f>
        <v>0</v>
      </c>
      <c r="R9" s="15" t="str">
        <f aca="false">IF(OR($Q$97=0,C9=0),"",IF(P9&lt;=C9,"✓ OK","Over"))</f>
        <v/>
      </c>
      <c r="T9" s="2"/>
      <c r="U9" s="2"/>
      <c r="V9" s="2"/>
      <c r="W9" s="2"/>
      <c r="X9" s="2" t="s">
        <v>33</v>
      </c>
      <c r="Y9" s="2" t="n">
        <f aca="false">$P$64+$P$65+$P$66</f>
        <v>0</v>
      </c>
      <c r="Z9" s="2" t="n">
        <f aca="false">IF(AND($Y$33=0,$Y$8&gt;=2),1,0)</f>
        <v>0</v>
      </c>
      <c r="AA9" s="2" t="n">
        <v>1</v>
      </c>
      <c r="AB9" s="2" t="str">
        <f aca="false">"Du har været i minus i "&amp;$Y$8&amp;" måneder. En buffer gør de dyre måneder lettere."</f>
        <v>Du har været i minus i 0 måneder. En buffer gør de dyre måneder lettere.</v>
      </c>
    </row>
    <row r="10" customFormat="false" ht="9" hidden="false" customHeight="true" outlineLevel="0" collapsed="false">
      <c r="T10" s="2"/>
      <c r="U10" s="2"/>
      <c r="V10" s="2"/>
      <c r="W10" s="2"/>
      <c r="X10" s="2" t="s">
        <v>34</v>
      </c>
      <c r="Y10" s="2" t="n">
        <f aca="false">IF($P$8=0,0,($P$64+$P$65+$P$66)/$P$8)</f>
        <v>0</v>
      </c>
      <c r="Z10" s="2" t="n">
        <f aca="false">IF(AND($Y$33=0,AND($Y$3&gt;0,$Y$17&lt;-1000)),1,0)</f>
        <v>0</v>
      </c>
      <c r="AA10" s="2" t="n">
        <v>1</v>
      </c>
      <c r="AB10" s="2" t="str">
        <f aca="false">"Dine indtægter ligger i gennemsnit "&amp;IF(ROUND(-$Y$17,0)&gt;=1000,INT(ROUND(-$Y$17,0)/1000)&amp;"."&amp;RIGHT("00"&amp;MOD(ROUND(-$Y$17,0),1000),3),ROUND(-$Y$17,0)&amp;"")&amp;" kr. under budgettet. Lav budgettet ud fra det, der faktisk kommer ind."</f>
        <v>Dine indtægter ligger i gennemsnit 0 kr. under budgettet. Lav budgettet ud fra det, der faktisk kommer ind.</v>
      </c>
    </row>
    <row r="11" customFormat="false" ht="27" hidden="false" customHeight="true" outlineLevel="0" collapsed="false">
      <c r="B11" s="16" t="s">
        <v>35</v>
      </c>
      <c r="C11" s="17" t="n">
        <f aca="false">C8-C9</f>
        <v>0</v>
      </c>
      <c r="D11" s="17" t="n">
        <f aca="false">D8-D9</f>
        <v>0</v>
      </c>
      <c r="E11" s="17" t="n">
        <f aca="false">E8-E9</f>
        <v>0</v>
      </c>
      <c r="F11" s="17" t="n">
        <f aca="false">F8-F9</f>
        <v>0</v>
      </c>
      <c r="G11" s="17" t="n">
        <f aca="false">G8-G9</f>
        <v>0</v>
      </c>
      <c r="H11" s="17" t="n">
        <f aca="false">H8-H9</f>
        <v>0</v>
      </c>
      <c r="I11" s="17" t="n">
        <f aca="false">I8-I9</f>
        <v>0</v>
      </c>
      <c r="J11" s="17" t="n">
        <f aca="false">J8-J9</f>
        <v>0</v>
      </c>
      <c r="K11" s="17" t="n">
        <f aca="false">K8-K9</f>
        <v>0</v>
      </c>
      <c r="L11" s="17" t="n">
        <f aca="false">L8-L9</f>
        <v>0</v>
      </c>
      <c r="M11" s="17" t="n">
        <f aca="false">M8-M9</f>
        <v>0</v>
      </c>
      <c r="N11" s="17" t="n">
        <f aca="false">N8-N9</f>
        <v>0</v>
      </c>
      <c r="O11" s="17" t="n">
        <f aca="false">O8-O9</f>
        <v>0</v>
      </c>
      <c r="P11" s="17" t="n">
        <f aca="false">IF($Q$97=0,0,Q11/$Q$97)</f>
        <v>0</v>
      </c>
      <c r="Q11" s="17" t="n">
        <f aca="false">Q8-Q9</f>
        <v>0</v>
      </c>
      <c r="R11" s="17"/>
      <c r="T11" s="2"/>
      <c r="U11" s="2"/>
      <c r="V11" s="2"/>
      <c r="W11" s="2"/>
      <c r="X11" s="2" t="s">
        <v>36</v>
      </c>
      <c r="Y11" s="2" t="n">
        <f aca="false">MAX($U$29:$U$63)</f>
        <v>0</v>
      </c>
      <c r="Z11" s="2" t="n">
        <f aca="false">IF(AND($Y$33=0,AND($Y$15&gt;0,$Y$16&gt;2000)),1,0)</f>
        <v>0</v>
      </c>
      <c r="AA11" s="2" t="n">
        <v>1</v>
      </c>
      <c r="AB11" s="2" t="str">
        <f aca="false">"Du bruger i gennemsnit "&amp;IF(ROUND($Y$16,0)&gt;=1000,INT(ROUND($Y$16,0)/1000)&amp;"."&amp;RIGHT("00"&amp;MOD(ROUND($Y$16,0),1000),3),ROUND($Y$16,0)&amp;"")&amp;" kr. mere om måneden end budgetteret. Det er her, overskuddet forsvinder."</f>
        <v>Du bruger i gennemsnit 0 kr. mere om måneden end budgetteret. Det er her, overskuddet forsvinder.</v>
      </c>
    </row>
    <row r="12" customFormat="false" ht="12" hidden="false" customHeight="true" outlineLevel="0" collapsed="false">
      <c r="T12" s="2"/>
      <c r="U12" s="2"/>
      <c r="V12" s="2"/>
      <c r="W12" s="2"/>
      <c r="X12" s="2" t="s">
        <v>37</v>
      </c>
      <c r="Y12" s="2" t="n">
        <f aca="false">COUNTIF($U$29:$U$63,"&gt;0")</f>
        <v>0</v>
      </c>
      <c r="Z12" s="2" t="n">
        <f aca="false">IF(AND($Y$33=0,$Y$12&gt;=4),1,0)</f>
        <v>0</v>
      </c>
      <c r="AA12" s="2" t="n">
        <v>1</v>
      </c>
      <c r="AB12" s="2" t="s">
        <v>38</v>
      </c>
    </row>
    <row r="13" customFormat="false" ht="18" hidden="false" customHeight="true" outlineLevel="0" collapsed="false">
      <c r="T13" s="2"/>
      <c r="U13" s="2"/>
      <c r="V13" s="2"/>
      <c r="W13" s="2"/>
      <c r="X13" s="2" t="s">
        <v>39</v>
      </c>
      <c r="Y13" s="5" t="n">
        <f aca="false">$Q$11</f>
        <v>0</v>
      </c>
      <c r="Z13" s="2" t="n">
        <f aca="false">IF(AND($Y$33=0,$Y$11&gt;1000),1,0)</f>
        <v>0</v>
      </c>
      <c r="AA13" s="2" t="n">
        <v>1</v>
      </c>
      <c r="AB13" s="2" t="str">
        <f aca="false">"Mest over budget: "&amp;$Y$31&amp;" med "&amp;IF(ROUND($Y$11,0)&gt;=1000,INT(ROUND($Y$11,0)/1000)&amp;"."&amp;RIGHT("00"&amp;MOD(ROUND($Y$11,0),1000),3),ROUND($Y$11,0)&amp;"")&amp;" kr. om måneden i gennemsnit. Justér enten budgettet eller forbruget."</f>
        <v>Mest over budget:  med 0 kr. om måneden i gennemsnit. Justér enten budgettet eller forbruget.</v>
      </c>
    </row>
    <row r="14" customFormat="false" ht="24" hidden="false" customHeight="true" outlineLevel="0" collapsed="false">
      <c r="B14" s="18" t="s">
        <v>40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T14" s="2"/>
      <c r="U14" s="2"/>
      <c r="V14" s="2"/>
      <c r="W14" s="2"/>
      <c r="X14" s="2" t="s">
        <v>41</v>
      </c>
      <c r="Y14" s="2" t="n">
        <f aca="false">MAX($D$11:$O$11)</f>
        <v>0</v>
      </c>
      <c r="Z14" s="2" t="n">
        <f aca="false">IF(AND($Y$33=0,AND($Y$19&gt;$Y$20,$Y$19&gt;1000)),1,0)</f>
        <v>0</v>
      </c>
      <c r="AA14" s="2" t="n">
        <v>1</v>
      </c>
      <c r="AB14" s="2" t="str">
        <f aca="false">"Du bruger mere på mad ude end på dagligvarer. Det bliver til "&amp;IF(ROUND($Y$19*12,0)&gt;=1000,INT(ROUND($Y$19*12,0)/1000)&amp;"."&amp;RIGHT("00"&amp;MOD(ROUND($Y$19*12,0),1000),3),ROUND($Y$19*12,0)&amp;"")&amp;" kr. om året."</f>
        <v>Du bruger mere på mad ude end på dagligvarer. Det bliver til 0 kr. om året.</v>
      </c>
    </row>
    <row r="15" customFormat="false" ht="21" hidden="false" customHeight="true" outlineLevel="0" collapsed="false">
      <c r="B15" s="19" t="s">
        <v>42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T15" s="2"/>
      <c r="U15" s="2"/>
      <c r="V15" s="2"/>
      <c r="W15" s="2"/>
      <c r="X15" s="2" t="s">
        <v>43</v>
      </c>
      <c r="Y15" s="5" t="n">
        <f aca="false">$C$9</f>
        <v>0</v>
      </c>
      <c r="Z15" s="2" t="n">
        <f aca="false">IF(AND($Y$33=0,$Y$21&gt;800),1,0)</f>
        <v>0</v>
      </c>
      <c r="AA15" s="2" t="n">
        <v>1</v>
      </c>
      <c r="AB15" s="2" t="str">
        <f aca="false">"Dine abonnementer koster "&amp;IF(ROUND($Y$21*12,0)&gt;=1000,INT(ROUND($Y$21*12,0)/1000)&amp;"."&amp;RIGHT("00"&amp;MOD(ROUND($Y$21*12,0),1000),3),ROUND($Y$21*12,0)&amp;"")&amp;" kr. om året. Opsig dem, du ikke har brugt den sidste måned."</f>
        <v>Dine abonnementer koster 0 kr. om året. Opsig dem, du ikke har brugt den sidste måned.</v>
      </c>
    </row>
    <row r="16" customFormat="false" ht="54" hidden="false" customHeight="true" outlineLevel="0" collapsed="false">
      <c r="B16" s="21" t="str">
        <f aca="false">INDEX($AB$2:$AB$43,$Y$35)&amp;$Y$36</f>
        <v>Start med at skrive dit budget i kolonnen Budget/md. Så udfylder du én måned ad gangen.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T16" s="2"/>
      <c r="U16" s="2"/>
      <c r="V16" s="2"/>
      <c r="W16" s="2"/>
      <c r="X16" s="2" t="s">
        <v>44</v>
      </c>
      <c r="Y16" s="2" t="n">
        <f aca="false">$P$9-$C$9</f>
        <v>0</v>
      </c>
      <c r="Z16" s="2" t="n">
        <f aca="false">IF(AND($Y$33=0,$Y$22&gt;3500),1,0)</f>
        <v>0</v>
      </c>
      <c r="AA16" s="2" t="n">
        <v>1</v>
      </c>
      <c r="AB16" s="2" t="str">
        <f aca="false">"Bilen koster dig i gennemsnit "&amp;IF(ROUND($Y$22,0)&gt;=1000,INT(ROUND($Y$22,0)/1000)&amp;"."&amp;RIGHT("00"&amp;MOD(ROUND($Y$22,0),1000),3),ROUND($Y$22,0)&amp;"")&amp;" kr. om måneden. Regn på, om en billigere løsning kan gøre det."</f>
        <v>Bilen koster dig i gennemsnit 0 kr. om måneden. Regn på, om en billigere løsning kan gøre det.</v>
      </c>
    </row>
    <row r="17" customFormat="false" ht="9" hidden="false" customHeight="true" outlineLevel="0" collapsed="false"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T17" s="2"/>
      <c r="U17" s="2"/>
      <c r="V17" s="2"/>
      <c r="W17" s="2"/>
      <c r="X17" s="2" t="s">
        <v>45</v>
      </c>
      <c r="Y17" s="2" t="n">
        <f aca="false">$P$8-$C$8</f>
        <v>0</v>
      </c>
      <c r="Z17" s="2" t="n">
        <f aca="false">IF(AND($Y$33=0,$Y$27&gt;=3),1,0)</f>
        <v>0</v>
      </c>
      <c r="AA17" s="2" t="n">
        <v>1</v>
      </c>
      <c r="AB17" s="2" t="str">
        <f aca="false">"Du har udgifter på "&amp;$Y$27&amp;" poster, der ikke står i budgettet. Giv dem et beløb, så budgettet passer til virkeligheden."</f>
        <v>Du har udgifter på 0 poster, der ikke står i budgettet. Giv dem et beløb, så budgettet passer til virkeligheden.</v>
      </c>
    </row>
    <row r="18" customFormat="false" ht="24" hidden="false" customHeight="true" outlineLevel="0" collapsed="false">
      <c r="T18" s="2"/>
      <c r="U18" s="2"/>
      <c r="V18" s="2"/>
      <c r="W18" s="2"/>
      <c r="X18" s="2" t="s">
        <v>46</v>
      </c>
      <c r="Y18" s="2" t="n">
        <f aca="false">MIN($D$11:$O$11)</f>
        <v>0</v>
      </c>
      <c r="Z18" s="2" t="n">
        <f aca="false">IF(AND($Y$33=0,$Y$9=0),1,0)</f>
        <v>1</v>
      </c>
      <c r="AA18" s="2" t="n">
        <v>1</v>
      </c>
      <c r="AB18" s="2" t="s">
        <v>47</v>
      </c>
    </row>
    <row r="19" customFormat="false" ht="30" hidden="false" customHeight="true" outlineLevel="0" collapsed="false">
      <c r="B19" s="22" t="s">
        <v>48</v>
      </c>
      <c r="T19" s="2"/>
      <c r="U19" s="2"/>
      <c r="V19" s="2"/>
      <c r="W19" s="2"/>
      <c r="X19" s="2" t="s">
        <v>49</v>
      </c>
      <c r="Y19" s="2" t="n">
        <f aca="false">$P$38+$P$39</f>
        <v>0</v>
      </c>
      <c r="Z19" s="2" t="n">
        <f aca="false">IF(AND($Y$33=0,$Y$23=0),1,0)</f>
        <v>1</v>
      </c>
      <c r="AA19" s="2" t="n">
        <v>1</v>
      </c>
      <c r="AB19" s="2" t="s">
        <v>50</v>
      </c>
    </row>
    <row r="20" customFormat="false" ht="6" hidden="false" customHeight="true" outlineLevel="0" collapsed="false">
      <c r="T20" s="2"/>
      <c r="U20" s="2"/>
      <c r="V20" s="2"/>
      <c r="W20" s="2"/>
      <c r="X20" s="2" t="s">
        <v>51</v>
      </c>
      <c r="Y20" s="5" t="n">
        <f aca="false">$P$37</f>
        <v>0</v>
      </c>
      <c r="Z20" s="2" t="n">
        <f aca="false">IF(AND($Y$33=0,$Y$7&lt;0.02),1,0)</f>
        <v>1</v>
      </c>
      <c r="AA20" s="2" t="n">
        <v>1</v>
      </c>
      <c r="AB20" s="2" t="s">
        <v>52</v>
      </c>
    </row>
    <row r="21" customFormat="false" ht="7.5" hidden="false" customHeight="true" outlineLevel="0" collapsed="false">
      <c r="T21" s="2"/>
      <c r="U21" s="2"/>
      <c r="V21" s="2"/>
      <c r="W21" s="2"/>
      <c r="X21" s="2" t="s">
        <v>53</v>
      </c>
      <c r="Y21" s="5" t="n">
        <f aca="false">$P$54</f>
        <v>0</v>
      </c>
      <c r="Z21" s="2" t="n">
        <f aca="false">IF(AND($Y$33=0,AND($Y$2&gt;=4,$Y$29&gt;0,$Y$30&lt;$Y$29*0.7)),1,0)</f>
        <v>0</v>
      </c>
      <c r="AA21" s="2" t="n">
        <v>1</v>
      </c>
      <c r="AB21" s="2" t="s">
        <v>54</v>
      </c>
    </row>
    <row r="22" customFormat="false" ht="15.75" hidden="false" customHeight="true" outlineLevel="0" collapsed="false">
      <c r="B22" s="9" t="s">
        <v>55</v>
      </c>
      <c r="C22" s="10" t="s">
        <v>13</v>
      </c>
      <c r="D22" s="10" t="s">
        <v>14</v>
      </c>
      <c r="E22" s="10" t="s">
        <v>15</v>
      </c>
      <c r="F22" s="10" t="s">
        <v>16</v>
      </c>
      <c r="G22" s="10" t="s">
        <v>17</v>
      </c>
      <c r="H22" s="10" t="s">
        <v>18</v>
      </c>
      <c r="I22" s="10" t="s">
        <v>19</v>
      </c>
      <c r="J22" s="10" t="s">
        <v>20</v>
      </c>
      <c r="K22" s="10" t="s">
        <v>21</v>
      </c>
      <c r="L22" s="10" t="s">
        <v>22</v>
      </c>
      <c r="M22" s="10" t="s">
        <v>23</v>
      </c>
      <c r="N22" s="10" t="s">
        <v>24</v>
      </c>
      <c r="O22" s="10" t="s">
        <v>25</v>
      </c>
      <c r="P22" s="10" t="s">
        <v>26</v>
      </c>
      <c r="Q22" s="10" t="s">
        <v>27</v>
      </c>
      <c r="R22" s="11" t="s">
        <v>28</v>
      </c>
      <c r="T22" s="2"/>
      <c r="U22" s="2"/>
      <c r="V22" s="2"/>
      <c r="W22" s="2"/>
      <c r="X22" s="2" t="s">
        <v>56</v>
      </c>
      <c r="Y22" s="2" t="n">
        <f aca="false">$P$43+$P$44</f>
        <v>0</v>
      </c>
      <c r="Z22" s="2" t="n">
        <f aca="false">IF(AND($Y$33=0,AND($Y$2&gt;=3,$Y$18&lt;0)),1,0)</f>
        <v>0</v>
      </c>
      <c r="AA22" s="2" t="n">
        <v>1</v>
      </c>
      <c r="AB22" s="2" t="str">
        <f aca="false">"I gennemsnit er du i plus. "&amp;$Y$34&amp;" endte dog i minus med "&amp;IF(ROUND(-$Y$18,0)&gt;=1000,INT(ROUND(-$Y$18,0)/1000)&amp;"."&amp;RIGHT("00"&amp;MOD(ROUND(-$Y$18,0),1000),3),ROUND(-$Y$18,0)&amp;"")&amp;" kr., så planlæg de dyre måneder i forvejen."</f>
        <v>I gennemsnit er du i plus. Jan endte dog i minus med 0 kr., så planlæg de dyre måneder i forvejen.</v>
      </c>
    </row>
    <row r="23" customFormat="false" ht="23.25" hidden="false" customHeight="true" outlineLevel="0" collapsed="false">
      <c r="B23" s="23" t="s">
        <v>57</v>
      </c>
      <c r="C23" s="24" t="n">
        <f aca="false">SUM(C24:C27)</f>
        <v>0</v>
      </c>
      <c r="D23" s="24" t="n">
        <f aca="false">SUM(D24:D27)</f>
        <v>0</v>
      </c>
      <c r="E23" s="24" t="n">
        <f aca="false">SUM(E24:E27)</f>
        <v>0</v>
      </c>
      <c r="F23" s="24" t="n">
        <f aca="false">SUM(F24:F27)</f>
        <v>0</v>
      </c>
      <c r="G23" s="24" t="n">
        <f aca="false">SUM(G24:G27)</f>
        <v>0</v>
      </c>
      <c r="H23" s="24" t="n">
        <f aca="false">SUM(H24:H27)</f>
        <v>0</v>
      </c>
      <c r="I23" s="24" t="n">
        <f aca="false">SUM(I24:I27)</f>
        <v>0</v>
      </c>
      <c r="J23" s="24" t="n">
        <f aca="false">SUM(J24:J27)</f>
        <v>0</v>
      </c>
      <c r="K23" s="24" t="n">
        <f aca="false">SUM(K24:K27)</f>
        <v>0</v>
      </c>
      <c r="L23" s="24" t="n">
        <f aca="false">SUM(L24:L27)</f>
        <v>0</v>
      </c>
      <c r="M23" s="24" t="n">
        <f aca="false">SUM(M24:M27)</f>
        <v>0</v>
      </c>
      <c r="N23" s="24" t="n">
        <f aca="false">SUM(N24:N27)</f>
        <v>0</v>
      </c>
      <c r="O23" s="24" t="n">
        <f aca="false">SUM(O24:O27)</f>
        <v>0</v>
      </c>
      <c r="P23" s="24" t="n">
        <f aca="false">IF($Q$97=0,0,Q23/$Q$97)</f>
        <v>0</v>
      </c>
      <c r="Q23" s="24" t="n">
        <f aca="false">SUM(Q24:Q27)</f>
        <v>0</v>
      </c>
      <c r="R23" s="25" t="str">
        <f aca="false">IF(OR($Q$97=0,C23=0),"",IF(P23&gt;=C23,"✓ OK","Under"))</f>
        <v/>
      </c>
      <c r="T23" s="2"/>
      <c r="U23" s="2"/>
      <c r="V23" s="2"/>
      <c r="W23" s="2"/>
      <c r="X23" s="2" t="s">
        <v>58</v>
      </c>
      <c r="Y23" s="5" t="n">
        <f aca="false">$P$66</f>
        <v>0</v>
      </c>
      <c r="Z23" s="2" t="n">
        <f aca="false">IF(AND($Y$33=0,AND($Y$6&gt;0,$Y$5&lt;$Y$6*0.8)),1,0)</f>
        <v>0</v>
      </c>
      <c r="AA23" s="2" t="n">
        <v>1</v>
      </c>
      <c r="AB23" s="2" t="str">
        <f aca="false">"Du har i gennemsnit "&amp;IF(ROUND($Y$5,0)&gt;=1000,INT(ROUND($Y$5,0)/1000)&amp;"."&amp;RIGHT("00"&amp;MOD(ROUND($Y$5,0),1000),3),ROUND($Y$5,0)&amp;"")&amp;" kr. tilbage hver måned. Budgettet sagde "&amp;IF(ROUND($Y$6,0)&gt;=1000,INT(ROUND($Y$6,0)/1000)&amp;"."&amp;RIGHT("00"&amp;MOD(ROUND($Y$6,0),1000),3),ROUND($Y$6,0)&amp;"")&amp;" kr."</f>
        <v>Du har i gennemsnit 0 kr. tilbage hver måned. Budgettet sagde 0 kr.</v>
      </c>
    </row>
    <row r="24" customFormat="false" ht="20.25" hidden="false" customHeight="true" outlineLevel="0" collapsed="false">
      <c r="B24" s="26" t="s">
        <v>59</v>
      </c>
      <c r="C24" s="27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9" t="n">
        <f aca="false">IF($Q$97=0,0,Q24/$Q$97)</f>
        <v>0</v>
      </c>
      <c r="Q24" s="29" t="n">
        <f aca="false">SUM(D24:O24)</f>
        <v>0</v>
      </c>
      <c r="R24" s="30" t="str">
        <f aca="false">IF(OR($Q$97=0,C24=0),"",IF(P24&gt;=C24,"✓ OK","Under"))</f>
        <v/>
      </c>
      <c r="T24" s="2"/>
      <c r="U24" s="2"/>
      <c r="V24" s="2"/>
      <c r="W24" s="2"/>
      <c r="X24" s="2" t="s">
        <v>60</v>
      </c>
      <c r="Y24" s="5" t="n">
        <f aca="false">$P$65</f>
        <v>0</v>
      </c>
      <c r="Z24" s="2" t="n">
        <f aca="false">IF(AND($Y$33=0,$Y$11&gt;300),1,0)</f>
        <v>0</v>
      </c>
      <c r="AA24" s="2" t="n">
        <v>1</v>
      </c>
      <c r="AB24" s="2" t="str">
        <f aca="false">"Lidt over budget på "&amp;$Y$31&amp;". Resten af regnskabet holder fint."</f>
        <v>Lidt over budget på . Resten af regnskabet holder fint.</v>
      </c>
    </row>
    <row r="25" customFormat="false" ht="20.25" hidden="false" customHeight="true" outlineLevel="0" collapsed="false">
      <c r="B25" s="26" t="s">
        <v>61</v>
      </c>
      <c r="C25" s="2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9" t="n">
        <f aca="false">IF($Q$97=0,0,Q25/$Q$97)</f>
        <v>0</v>
      </c>
      <c r="Q25" s="29" t="n">
        <f aca="false">SUM(D25:O25)</f>
        <v>0</v>
      </c>
      <c r="R25" s="30" t="str">
        <f aca="false">IF(OR($Q$97=0,C25=0),"",IF(P25&gt;=C25,"✓ OK","Under"))</f>
        <v/>
      </c>
      <c r="T25" s="2"/>
      <c r="U25" s="2"/>
      <c r="V25" s="2"/>
      <c r="W25" s="2"/>
      <c r="X25" s="2" t="s">
        <v>62</v>
      </c>
      <c r="Y25" s="5" t="n">
        <f aca="false">$P$64</f>
        <v>0</v>
      </c>
      <c r="Z25" s="2" t="n">
        <f aca="false">IF(AND($Y$33=0,AND($Y$26&gt;0,$Y$7&gt;0.1)),1,0)</f>
        <v>0</v>
      </c>
      <c r="AA25" s="2" t="n">
        <v>1</v>
      </c>
      <c r="AB25" s="2" t="s">
        <v>63</v>
      </c>
    </row>
    <row r="26" customFormat="false" ht="20.25" hidden="false" customHeight="true" outlineLevel="0" collapsed="false">
      <c r="B26" s="26" t="s">
        <v>64</v>
      </c>
      <c r="C26" s="27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9" t="n">
        <f aca="false">IF($Q$97=0,0,Q26/$Q$97)</f>
        <v>0</v>
      </c>
      <c r="Q26" s="29" t="n">
        <f aca="false">SUM(D26:O26)</f>
        <v>0</v>
      </c>
      <c r="R26" s="30" t="str">
        <f aca="false">IF(OR($Q$97=0,C26=0),"",IF(P26&gt;=C26,"✓ OK","Under"))</f>
        <v/>
      </c>
      <c r="T26" s="2"/>
      <c r="U26" s="2"/>
      <c r="V26" s="2"/>
      <c r="W26" s="2"/>
      <c r="X26" s="2" t="s">
        <v>65</v>
      </c>
      <c r="Y26" s="5" t="n">
        <f aca="false">$P$67</f>
        <v>0</v>
      </c>
      <c r="Z26" s="2" t="n">
        <f aca="false">IF(AND($Y$2&gt;=12,$Y$13&gt;0),1,0)</f>
        <v>0</v>
      </c>
      <c r="AA26" s="2" t="n">
        <v>1</v>
      </c>
      <c r="AB26" s="2" t="str">
        <f aca="false">"Et helt år i regnskabet, og du endte med "&amp;IF(ROUND($Y$13,0)&gt;=1000,INT(ROUND($Y$13,0)/1000)&amp;"."&amp;RIGHT("00"&amp;MOD(ROUND($Y$13,0),1000),3),ROUND($Y$13,0)&amp;"")&amp;" kr. tilbage i alt. Stærkt gået."</f>
        <v>Et helt år i regnskabet, og du endte med 0 kr. tilbage i alt. Stærkt gået.</v>
      </c>
    </row>
    <row r="27" customFormat="false" ht="20.25" hidden="false" customHeight="true" outlineLevel="0" collapsed="false">
      <c r="B27" s="26" t="s">
        <v>66</v>
      </c>
      <c r="C27" s="2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9" t="n">
        <f aca="false">IF($Q$97=0,0,Q27/$Q$97)</f>
        <v>0</v>
      </c>
      <c r="Q27" s="29" t="n">
        <f aca="false">SUM(D27:O27)</f>
        <v>0</v>
      </c>
      <c r="R27" s="30" t="str">
        <f aca="false">IF(OR($Q$97=0,C27=0),"",IF(P27&gt;=C27,"✓ OK","Under"))</f>
        <v/>
      </c>
      <c r="T27" s="2"/>
      <c r="U27" s="2"/>
      <c r="V27" s="2"/>
      <c r="W27" s="2"/>
      <c r="X27" s="2" t="s">
        <v>67</v>
      </c>
      <c r="Y27" s="2" t="n">
        <f aca="false">COUNTIF($W$23:$W$67,1)</f>
        <v>0</v>
      </c>
      <c r="Z27" s="2" t="n">
        <f aca="false">IF(AND($Y$2&gt;=6,$Y$8=0),1,0)</f>
        <v>0</v>
      </c>
      <c r="AA27" s="2" t="n">
        <v>1</v>
      </c>
      <c r="AB27" s="2" t="str">
        <f aca="false">"Ikke én måned i minus i "&amp;$Y$2&amp;" måneder. Det er stærkt gået."</f>
        <v>Ikke én måned i minus i 0 måneder. Det er stærkt gået.</v>
      </c>
    </row>
    <row r="28" customFormat="false" ht="15.75" hidden="false" customHeight="true" outlineLevel="0" collapsed="false">
      <c r="T28" s="2"/>
      <c r="U28" s="2"/>
      <c r="V28" s="2"/>
      <c r="W28" s="2"/>
      <c r="X28" s="2" t="s">
        <v>68</v>
      </c>
      <c r="Y28" s="2" t="n">
        <f aca="false">IF($Q$97=0,0,INDEX($D$11:$O$11,$Q$97))</f>
        <v>0</v>
      </c>
      <c r="Z28" s="2" t="n">
        <f aca="false">IF(AND($Y$2&gt;=4,$Y$29&gt;0,$Y$30&gt;$Y$29*1.3),1,0)</f>
        <v>0</v>
      </c>
      <c r="AA28" s="2" t="n">
        <v>1</v>
      </c>
      <c r="AB28" s="2" t="s">
        <v>69</v>
      </c>
    </row>
    <row r="29" customFormat="false" ht="23.25" hidden="false" customHeight="true" outlineLevel="0" collapsed="false">
      <c r="B29" s="23" t="s">
        <v>70</v>
      </c>
      <c r="C29" s="24" t="n">
        <f aca="false">SUM(C30:C34)</f>
        <v>0</v>
      </c>
      <c r="D29" s="24" t="n">
        <f aca="false">SUM(D30:D34)</f>
        <v>0</v>
      </c>
      <c r="E29" s="24" t="n">
        <f aca="false">SUM(E30:E34)</f>
        <v>0</v>
      </c>
      <c r="F29" s="24" t="n">
        <f aca="false">SUM(F30:F34)</f>
        <v>0</v>
      </c>
      <c r="G29" s="24" t="n">
        <f aca="false">SUM(G30:G34)</f>
        <v>0</v>
      </c>
      <c r="H29" s="24" t="n">
        <f aca="false">SUM(H30:H34)</f>
        <v>0</v>
      </c>
      <c r="I29" s="24" t="n">
        <f aca="false">SUM(I30:I34)</f>
        <v>0</v>
      </c>
      <c r="J29" s="24" t="n">
        <f aca="false">SUM(J30:J34)</f>
        <v>0</v>
      </c>
      <c r="K29" s="24" t="n">
        <f aca="false">SUM(K30:K34)</f>
        <v>0</v>
      </c>
      <c r="L29" s="24" t="n">
        <f aca="false">SUM(L30:L34)</f>
        <v>0</v>
      </c>
      <c r="M29" s="24" t="n">
        <f aca="false">SUM(M30:M34)</f>
        <v>0</v>
      </c>
      <c r="N29" s="24" t="n">
        <f aca="false">SUM(N30:N34)</f>
        <v>0</v>
      </c>
      <c r="O29" s="24" t="n">
        <f aca="false">SUM(O30:O34)</f>
        <v>0</v>
      </c>
      <c r="P29" s="24" t="n">
        <f aca="false">IF($Q$97=0,0,Q29/$Q$97)</f>
        <v>0</v>
      </c>
      <c r="Q29" s="24" t="n">
        <f aca="false">SUM(Q30:Q34)</f>
        <v>0</v>
      </c>
      <c r="R29" s="25" t="str">
        <f aca="false">IF(OR($Q$97=0,C29=0),"",IF(P29&lt;=C29,"✓ OK","Over"))</f>
        <v/>
      </c>
      <c r="T29" s="2"/>
      <c r="U29" s="2" t="n">
        <f aca="false">IF($C$29&gt;0,$P$29-$C$29,0)</f>
        <v>0</v>
      </c>
      <c r="V29" s="2" t="s">
        <v>71</v>
      </c>
      <c r="W29" s="2"/>
      <c r="X29" s="2" t="s">
        <v>72</v>
      </c>
      <c r="Y29" s="2" t="n">
        <f aca="false">($D$11+$E$11)/2</f>
        <v>0</v>
      </c>
      <c r="Z29" s="2" t="n">
        <f aca="false">IF($Y$10&gt;=0.3,1,0)</f>
        <v>0</v>
      </c>
      <c r="AA29" s="2" t="n">
        <v>0</v>
      </c>
      <c r="AB29" s="2" t="str">
        <f aca="false">"Du sparer "&amp;ROUND($Y$10*100,0)&amp;"% af din indtægt op. Det er sjældent, og det er virkelig stærkt."</f>
        <v>Du sparer 0% af din indtægt op. Det er sjældent, og det er virkelig stærkt.</v>
      </c>
    </row>
    <row r="30" customFormat="false" ht="20.25" hidden="false" customHeight="true" outlineLevel="0" collapsed="false">
      <c r="B30" s="26" t="s">
        <v>73</v>
      </c>
      <c r="C30" s="27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9" t="n">
        <f aca="false">IF($Q$97=0,0,Q30/$Q$97)</f>
        <v>0</v>
      </c>
      <c r="Q30" s="29" t="n">
        <f aca="false">SUM(D30:O30)</f>
        <v>0</v>
      </c>
      <c r="R30" s="30" t="str">
        <f aca="false">IF(OR($Q$97=0,C30=0),"",IF(P30&lt;=C30,"✓ OK","Over"))</f>
        <v/>
      </c>
      <c r="T30" s="2"/>
      <c r="U30" s="2"/>
      <c r="V30" s="2"/>
      <c r="W30" s="2" t="n">
        <f aca="false">IF(AND($C$30=0,$P$30&gt;0),1,0)</f>
        <v>0</v>
      </c>
      <c r="X30" s="2" t="s">
        <v>74</v>
      </c>
      <c r="Y30" s="2" t="n">
        <f aca="false">IF($Q$97&lt;2,0,(INDEX($D$11:$O$11,$Q$97)+INDEX($D$11:$O$11,$Q$97-1))/2)</f>
        <v>0</v>
      </c>
      <c r="Z30" s="2" t="n">
        <f aca="false">IF(AND($Y$12=0,$Y$2&gt;=3),1,0)</f>
        <v>0</v>
      </c>
      <c r="AA30" s="2" t="n">
        <v>1</v>
      </c>
      <c r="AB30" s="2" t="str">
        <f aca="false">"Du har holdt budgettet på alle områder i "&amp;$Y$2&amp;" måneder. Det er godt gået."</f>
        <v>Du har holdt budgettet på alle områder i 0 måneder. Det er godt gået.</v>
      </c>
    </row>
    <row r="31" customFormat="false" ht="20.25" hidden="false" customHeight="true" outlineLevel="0" collapsed="false">
      <c r="B31" s="26" t="s">
        <v>75</v>
      </c>
      <c r="C31" s="27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9" t="n">
        <f aca="false">IF($Q$97=0,0,Q31/$Q$97)</f>
        <v>0</v>
      </c>
      <c r="Q31" s="29" t="n">
        <f aca="false">SUM(D31:O31)</f>
        <v>0</v>
      </c>
      <c r="R31" s="30" t="str">
        <f aca="false">IF(OR($Q$97=0,C31=0),"",IF(P31&lt;=C31,"✓ OK","Over"))</f>
        <v/>
      </c>
      <c r="T31" s="2"/>
      <c r="U31" s="2"/>
      <c r="V31" s="2"/>
      <c r="W31" s="2" t="n">
        <f aca="false">IF(AND($C$31=0,$P$31&gt;0),1,0)</f>
        <v>0</v>
      </c>
      <c r="X31" s="2" t="s">
        <v>76</v>
      </c>
      <c r="Y31" s="2" t="str">
        <f aca="false">IF($Y$11&lt;=0,"",INDEX($V$29:$V$63,MATCH($Y$11,$U$29:$U$63,0)))</f>
        <v/>
      </c>
      <c r="Z31" s="2" t="n">
        <f aca="false">IF(AND($Y$15&gt;0,$Y$16&lt;=-1000),1,0)</f>
        <v>0</v>
      </c>
      <c r="AA31" s="2" t="n">
        <v>1</v>
      </c>
      <c r="AB31" s="2" t="str">
        <f aca="false">"Du bruger i gennemsnit "&amp;IF(ROUND(-$Y$16,0)&gt;=1000,INT(ROUND(-$Y$16,0)/1000)&amp;"."&amp;RIGHT("00"&amp;MOD(ROUND(-$Y$16,0),1000),3),ROUND(-$Y$16,0)&amp;"")&amp;" kr. mindre end budgetteret hver måned. Flot styring."</f>
        <v>Du bruger i gennemsnit 0 kr. mindre end budgetteret hver måned. Flot styring.</v>
      </c>
    </row>
    <row r="32" customFormat="false" ht="20.25" hidden="false" customHeight="true" outlineLevel="0" collapsed="false">
      <c r="B32" s="26" t="s">
        <v>77</v>
      </c>
      <c r="C32" s="27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9" t="n">
        <f aca="false">IF($Q$97=0,0,Q32/$Q$97)</f>
        <v>0</v>
      </c>
      <c r="Q32" s="29" t="n">
        <f aca="false">SUM(D32:O32)</f>
        <v>0</v>
      </c>
      <c r="R32" s="30" t="str">
        <f aca="false">IF(OR($Q$97=0,C32=0),"",IF(P32&lt;=C32,"✓ OK","Over"))</f>
        <v/>
      </c>
      <c r="T32" s="2"/>
      <c r="U32" s="2"/>
      <c r="V32" s="2"/>
      <c r="W32" s="2" t="n">
        <f aca="false">IF(AND($C$32=0,$P$32&gt;0),1,0)</f>
        <v>0</v>
      </c>
      <c r="X32" s="2" t="s">
        <v>78</v>
      </c>
      <c r="Y32" s="2" t="str">
        <f aca="false">INDEX($D$7:$O$7,MATCH($Y$14,$D$11:$O$11,0))</f>
        <v>Jan</v>
      </c>
      <c r="Z32" s="2" t="n">
        <f aca="false">IF(AND($Y$3&gt;0,$Y$17&gt;1000),1,0)</f>
        <v>0</v>
      </c>
      <c r="AA32" s="2" t="n">
        <v>1</v>
      </c>
      <c r="AB32" s="2" t="str">
        <f aca="false">"Dine indtægter ligger "&amp;IF(ROUND($Y$17,0)&gt;=1000,INT(ROUND($Y$17,0)/1000)&amp;"."&amp;RIGHT("00"&amp;MOD(ROUND($Y$17,0),1000),3),ROUND($Y$17,0)&amp;"")&amp;" kr. over budgettet. Giv de ekstra penge et job."</f>
        <v>Dine indtægter ligger 0 kr. over budgettet. Giv de ekstra penge et job.</v>
      </c>
    </row>
    <row r="33" customFormat="false" ht="20.25" hidden="false" customHeight="true" outlineLevel="0" collapsed="false">
      <c r="B33" s="26" t="s">
        <v>79</v>
      </c>
      <c r="C33" s="27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9" t="n">
        <f aca="false">IF($Q$97=0,0,Q33/$Q$97)</f>
        <v>0</v>
      </c>
      <c r="Q33" s="29" t="n">
        <f aca="false">SUM(D33:O33)</f>
        <v>0</v>
      </c>
      <c r="R33" s="30" t="str">
        <f aca="false">IF(OR($Q$97=0,C33=0),"",IF(P33&lt;=C33,"✓ OK","Over"))</f>
        <v/>
      </c>
      <c r="T33" s="2"/>
      <c r="U33" s="2"/>
      <c r="V33" s="2"/>
      <c r="W33" s="2" t="n">
        <f aca="false">IF(AND($C$33=0,$P$33&gt;0),1,0)</f>
        <v>0</v>
      </c>
      <c r="X33" s="2" t="s">
        <v>80</v>
      </c>
      <c r="Y33" s="2" t="n">
        <f aca="false">IF(AND($Y$5&gt;=0,$Y$10&gt;=0.2),1,0)</f>
        <v>0</v>
      </c>
      <c r="Z33" s="2" t="n">
        <f aca="false">IF($Y$12=1,1,0)</f>
        <v>0</v>
      </c>
      <c r="AA33" s="2" t="n">
        <v>1</v>
      </c>
      <c r="AB33" s="2" t="s">
        <v>81</v>
      </c>
    </row>
    <row r="34" customFormat="false" ht="20.25" hidden="false" customHeight="true" outlineLevel="0" collapsed="false">
      <c r="B34" s="26" t="s">
        <v>82</v>
      </c>
      <c r="C34" s="27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9" t="n">
        <f aca="false">IF($Q$97=0,0,Q34/$Q$97)</f>
        <v>0</v>
      </c>
      <c r="Q34" s="29" t="n">
        <f aca="false">SUM(D34:O34)</f>
        <v>0</v>
      </c>
      <c r="R34" s="30" t="str">
        <f aca="false">IF(OR($Q$97=0,C34=0),"",IF(P34&lt;=C34,"✓ OK","Over"))</f>
        <v/>
      </c>
      <c r="T34" s="2"/>
      <c r="U34" s="2"/>
      <c r="V34" s="2"/>
      <c r="W34" s="2" t="n">
        <f aca="false">IF(AND($C$34=0,$P$34&gt;0),1,0)</f>
        <v>0</v>
      </c>
      <c r="X34" s="2" t="s">
        <v>83</v>
      </c>
      <c r="Y34" s="2" t="str">
        <f aca="false">INDEX($D$7:$O$7,MATCH($Y$18,$D$11:$O$11,0))</f>
        <v>Jan</v>
      </c>
      <c r="Z34" s="2" t="n">
        <f aca="false">IF(AND($Y$2=3,$Y$5&gt;0),1,0)</f>
        <v>0</v>
      </c>
      <c r="AA34" s="2" t="n">
        <v>1</v>
      </c>
      <c r="AB34" s="2" t="s">
        <v>84</v>
      </c>
    </row>
    <row r="35" customFormat="false" ht="15.75" hidden="false" customHeight="true" outlineLevel="0" collapsed="false">
      <c r="T35" s="2"/>
      <c r="U35" s="2"/>
      <c r="V35" s="2"/>
      <c r="W35" s="2"/>
      <c r="X35" s="2" t="s">
        <v>85</v>
      </c>
      <c r="Y35" s="2" t="n">
        <f aca="false">MATCH(1,$Z$2:$Z$43,0)</f>
        <v>1</v>
      </c>
      <c r="Z35" s="2" t="n">
        <f aca="false">IF(AND($Y$2=6,$Y$5&gt;0),1,0)</f>
        <v>0</v>
      </c>
      <c r="AA35" s="2" t="n">
        <v>1</v>
      </c>
      <c r="AB35" s="2" t="str">
        <f aca="false">"Et halvt år i regnskabet. Du har "&amp;IF(ROUND($Y$13,0)&gt;=1000,INT(ROUND($Y$13,0)/1000)&amp;"."&amp;RIGHT("00"&amp;MOD(ROUND($Y$13,0),1000),3),ROUND($Y$13,0)&amp;"")&amp;" kr. tilbage i alt indtil nu."</f>
        <v>Et halvt år i regnskabet. Du har 0 kr. tilbage i alt indtil nu.</v>
      </c>
    </row>
    <row r="36" customFormat="false" ht="23.25" hidden="false" customHeight="true" outlineLevel="0" collapsed="false">
      <c r="B36" s="23" t="s">
        <v>86</v>
      </c>
      <c r="C36" s="24" t="n">
        <f aca="false">SUM(C37:C39)</f>
        <v>0</v>
      </c>
      <c r="D36" s="24" t="n">
        <f aca="false">SUM(D37:D39)</f>
        <v>0</v>
      </c>
      <c r="E36" s="24" t="n">
        <f aca="false">SUM(E37:E39)</f>
        <v>0</v>
      </c>
      <c r="F36" s="24" t="n">
        <f aca="false">SUM(F37:F39)</f>
        <v>0</v>
      </c>
      <c r="G36" s="24" t="n">
        <f aca="false">SUM(G37:G39)</f>
        <v>0</v>
      </c>
      <c r="H36" s="24" t="n">
        <f aca="false">SUM(H37:H39)</f>
        <v>0</v>
      </c>
      <c r="I36" s="24" t="n">
        <f aca="false">SUM(I37:I39)</f>
        <v>0</v>
      </c>
      <c r="J36" s="24" t="n">
        <f aca="false">SUM(J37:J39)</f>
        <v>0</v>
      </c>
      <c r="K36" s="24" t="n">
        <f aca="false">SUM(K37:K39)</f>
        <v>0</v>
      </c>
      <c r="L36" s="24" t="n">
        <f aca="false">SUM(L37:L39)</f>
        <v>0</v>
      </c>
      <c r="M36" s="24" t="n">
        <f aca="false">SUM(M37:M39)</f>
        <v>0</v>
      </c>
      <c r="N36" s="24" t="n">
        <f aca="false">SUM(N37:N39)</f>
        <v>0</v>
      </c>
      <c r="O36" s="24" t="n">
        <f aca="false">SUM(O37:O39)</f>
        <v>0</v>
      </c>
      <c r="P36" s="24" t="n">
        <f aca="false">IF($Q$97=0,0,Q36/$Q$97)</f>
        <v>0</v>
      </c>
      <c r="Q36" s="24" t="n">
        <f aca="false">SUM(Q37:Q39)</f>
        <v>0</v>
      </c>
      <c r="R36" s="25" t="str">
        <f aca="false">IF(OR($Q$97=0,C36=0),"",IF(P36&lt;=C36,"✓ OK","Over"))</f>
        <v/>
      </c>
      <c r="T36" s="2"/>
      <c r="U36" s="2" t="n">
        <f aca="false">IF($C$36&gt;0,$P$36-$C$36,0)</f>
        <v>0</v>
      </c>
      <c r="V36" s="2" t="s">
        <v>87</v>
      </c>
      <c r="W36" s="2"/>
      <c r="X36" s="2" t="s">
        <v>88</v>
      </c>
      <c r="Y36" s="2" t="str">
        <f aca="false">IF(AND(INDEX($AA$2:$AA$43,$Y$35)=1,$Y$2&gt;0,$Y$5&gt;=0,$Y$10&gt;=0.1),IF($Y$10&gt;=0.25," Og så sparer du "&amp;ROUND($Y$10*100,0)&amp;"% op hver måned. Det er virkelig stærkt.",IF($Y$10&gt;=0.15," Og du sparer "&amp;ROUND($Y$10*100,0)&amp;"% op hver måned. Det er rigtig flot."," Og du sparer "&amp;ROUND($Y$10*100,0)&amp;"% op hver måned. Det er præcis den vane, der bygger formue.")),"")</f>
        <v/>
      </c>
      <c r="Z36" s="2" t="n">
        <f aca="false">IF(AND($Y$2&gt;=2,$Y$5&gt;0,$Y$28&gt;$Y$5*1.2),1,0)</f>
        <v>0</v>
      </c>
      <c r="AA36" s="2" t="n">
        <v>1</v>
      </c>
      <c r="AB36" s="2" t="s">
        <v>89</v>
      </c>
    </row>
    <row r="37" customFormat="false" ht="20.25" hidden="false" customHeight="true" outlineLevel="0" collapsed="false">
      <c r="B37" s="26" t="s">
        <v>90</v>
      </c>
      <c r="C37" s="2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9" t="n">
        <f aca="false">IF($Q$97=0,0,Q37/$Q$97)</f>
        <v>0</v>
      </c>
      <c r="Q37" s="29" t="n">
        <f aca="false">SUM(D37:O37)</f>
        <v>0</v>
      </c>
      <c r="R37" s="30" t="str">
        <f aca="false">IF(OR($Q$97=0,C37=0),"",IF(P37&lt;=C37,"✓ OK","Over"))</f>
        <v/>
      </c>
      <c r="T37" s="2"/>
      <c r="U37" s="2"/>
      <c r="V37" s="2"/>
      <c r="W37" s="2" t="n">
        <f aca="false">IF(AND($C$37=0,$P$37&gt;0),1,0)</f>
        <v>0</v>
      </c>
      <c r="X37" s="2"/>
      <c r="Y37" s="2"/>
      <c r="Z37" s="2" t="n">
        <f aca="false">IF(AND($Y$24=0,$Y$25&gt;=3000,$Y$23&gt;0),1,0)</f>
        <v>0</v>
      </c>
      <c r="AA37" s="2" t="n">
        <v>1</v>
      </c>
      <c r="AB37" s="2" t="s">
        <v>91</v>
      </c>
    </row>
    <row r="38" customFormat="false" ht="20.25" hidden="false" customHeight="true" outlineLevel="0" collapsed="false">
      <c r="B38" s="26" t="s">
        <v>92</v>
      </c>
      <c r="C38" s="27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9" t="n">
        <f aca="false">IF($Q$97=0,0,Q38/$Q$97)</f>
        <v>0</v>
      </c>
      <c r="Q38" s="29" t="n">
        <f aca="false">SUM(D38:O38)</f>
        <v>0</v>
      </c>
      <c r="R38" s="30" t="str">
        <f aca="false">IF(OR($Q$97=0,C38=0),"",IF(P38&lt;=C38,"✓ OK","Over"))</f>
        <v/>
      </c>
      <c r="T38" s="2"/>
      <c r="U38" s="2"/>
      <c r="V38" s="2"/>
      <c r="W38" s="2" t="n">
        <f aca="false">IF(AND($C$38=0,$P$38&gt;0),1,0)</f>
        <v>0</v>
      </c>
      <c r="X38" s="2"/>
      <c r="Y38" s="2"/>
      <c r="Z38" s="2" t="n">
        <f aca="false">IF($Y$24&gt;0,1,0)</f>
        <v>0</v>
      </c>
      <c r="AA38" s="2" t="n">
        <v>1</v>
      </c>
      <c r="AB38" s="2" t="s">
        <v>93</v>
      </c>
    </row>
    <row r="39" customFormat="false" ht="20.25" hidden="false" customHeight="true" outlineLevel="0" collapsed="false">
      <c r="B39" s="26" t="s">
        <v>94</v>
      </c>
      <c r="C39" s="2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9" t="n">
        <f aca="false">IF($Q$97=0,0,Q39/$Q$97)</f>
        <v>0</v>
      </c>
      <c r="Q39" s="29" t="n">
        <f aca="false">SUM(D39:O39)</f>
        <v>0</v>
      </c>
      <c r="R39" s="30" t="str">
        <f aca="false">IF(OR($Q$97=0,C39=0),"",IF(P39&lt;=C39,"✓ OK","Over"))</f>
        <v/>
      </c>
      <c r="T39" s="2"/>
      <c r="U39" s="2"/>
      <c r="V39" s="2"/>
      <c r="W39" s="2" t="n">
        <f aca="false">IF(AND($C$39=0,$P$39&gt;0),1,0)</f>
        <v>0</v>
      </c>
      <c r="X39" s="2"/>
      <c r="Y39" s="2"/>
      <c r="Z39" s="2" t="n">
        <f aca="false">IF(AND($Y$7&gt;0.2,$Y$10&lt;0.1),1,0)</f>
        <v>0</v>
      </c>
      <c r="AA39" s="2" t="n">
        <v>1</v>
      </c>
      <c r="AB39" s="2" t="s">
        <v>95</v>
      </c>
    </row>
    <row r="40" customFormat="false" ht="15.75" hidden="false" customHeight="true" outlineLevel="0" collapsed="false">
      <c r="T40" s="2"/>
      <c r="U40" s="2"/>
      <c r="V40" s="2"/>
      <c r="W40" s="2"/>
      <c r="X40" s="2"/>
      <c r="Y40" s="2"/>
      <c r="Z40" s="2" t="n">
        <f aca="false">IF(AND($Y$7&gt;0.05,$Y$7&lt;=0.1),1,0)</f>
        <v>0</v>
      </c>
      <c r="AA40" s="2" t="n">
        <v>1</v>
      </c>
      <c r="AB40" s="2" t="s">
        <v>96</v>
      </c>
    </row>
    <row r="41" customFormat="false" ht="23.25" hidden="false" customHeight="true" outlineLevel="0" collapsed="false">
      <c r="B41" s="23" t="s">
        <v>97</v>
      </c>
      <c r="C41" s="24" t="n">
        <f aca="false">SUM(C42:C45)</f>
        <v>0</v>
      </c>
      <c r="D41" s="24" t="n">
        <f aca="false">SUM(D42:D45)</f>
        <v>0</v>
      </c>
      <c r="E41" s="24" t="n">
        <f aca="false">SUM(E42:E45)</f>
        <v>0</v>
      </c>
      <c r="F41" s="24" t="n">
        <f aca="false">SUM(F42:F45)</f>
        <v>0</v>
      </c>
      <c r="G41" s="24" t="n">
        <f aca="false">SUM(G42:G45)</f>
        <v>0</v>
      </c>
      <c r="H41" s="24" t="n">
        <f aca="false">SUM(H42:H45)</f>
        <v>0</v>
      </c>
      <c r="I41" s="24" t="n">
        <f aca="false">SUM(I42:I45)</f>
        <v>0</v>
      </c>
      <c r="J41" s="24" t="n">
        <f aca="false">SUM(J42:J45)</f>
        <v>0</v>
      </c>
      <c r="K41" s="24" t="n">
        <f aca="false">SUM(K42:K45)</f>
        <v>0</v>
      </c>
      <c r="L41" s="24" t="n">
        <f aca="false">SUM(L42:L45)</f>
        <v>0</v>
      </c>
      <c r="M41" s="24" t="n">
        <f aca="false">SUM(M42:M45)</f>
        <v>0</v>
      </c>
      <c r="N41" s="24" t="n">
        <f aca="false">SUM(N42:N45)</f>
        <v>0</v>
      </c>
      <c r="O41" s="24" t="n">
        <f aca="false">SUM(O42:O45)</f>
        <v>0</v>
      </c>
      <c r="P41" s="24" t="n">
        <f aca="false">IF($Q$97=0,0,Q41/$Q$97)</f>
        <v>0</v>
      </c>
      <c r="Q41" s="24" t="n">
        <f aca="false">SUM(Q42:Q45)</f>
        <v>0</v>
      </c>
      <c r="R41" s="25" t="str">
        <f aca="false">IF(OR($Q$97=0,C41=0),"",IF(P41&lt;=C41,"✓ OK","Over"))</f>
        <v/>
      </c>
      <c r="T41" s="2"/>
      <c r="U41" s="2" t="n">
        <f aca="false">IF($C$41&gt;0,$P$41-$C$41,0)</f>
        <v>0</v>
      </c>
      <c r="V41" s="2" t="s">
        <v>98</v>
      </c>
      <c r="W41" s="2"/>
      <c r="X41" s="2"/>
      <c r="Y41" s="2"/>
      <c r="Z41" s="2" t="n">
        <f aca="false">IF(AND($Y$7&gt;0.05,$Y$2&gt;=2),1,0)</f>
        <v>0</v>
      </c>
      <c r="AA41" s="2" t="n">
        <v>1</v>
      </c>
      <c r="AB41" s="2" t="str">
        <f aca="false">"Din bedste måned var "&amp;$Y$32&amp;" med "&amp;IF(ROUND($Y$14,0)&gt;=1000,INT(ROUND($Y$14,0)/1000)&amp;"."&amp;RIGHT("00"&amp;MOD(ROUND($Y$14,0),1000),3),ROUND($Y$14,0)&amp;"")&amp;" kr. tilbage. I gennemsnit har du "&amp;IF(ROUND($Y$5,0)&gt;=1000,INT(ROUND($Y$5,0)/1000)&amp;"."&amp;RIGHT("00"&amp;MOD(ROUND($Y$5,0),1000),3),ROUND($Y$5,0)&amp;"")&amp;" kr. tilbage hver måned."</f>
        <v>Din bedste måned var Jan med 0 kr. tilbage. I gennemsnit har du 0 kr. tilbage hver måned.</v>
      </c>
    </row>
    <row r="42" customFormat="false" ht="20.25" hidden="false" customHeight="true" outlineLevel="0" collapsed="false">
      <c r="B42" s="26" t="s">
        <v>99</v>
      </c>
      <c r="C42" s="27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9" t="n">
        <f aca="false">IF($Q$97=0,0,Q42/$Q$97)</f>
        <v>0</v>
      </c>
      <c r="Q42" s="29" t="n">
        <f aca="false">SUM(D42:O42)</f>
        <v>0</v>
      </c>
      <c r="R42" s="30" t="str">
        <f aca="false">IF(OR($Q$97=0,C42=0),"",IF(P42&lt;=C42,"✓ OK","Over"))</f>
        <v/>
      </c>
      <c r="T42" s="2"/>
      <c r="U42" s="2"/>
      <c r="V42" s="2"/>
      <c r="W42" s="2" t="n">
        <f aca="false">IF(AND($C$42=0,$P$42&gt;0),1,0)</f>
        <v>0</v>
      </c>
      <c r="X42" s="2"/>
      <c r="Y42" s="2"/>
      <c r="Z42" s="2" t="n">
        <f aca="false">IF($Y$7&gt;0.05,1,0)</f>
        <v>0</v>
      </c>
      <c r="AA42" s="2" t="n">
        <v>1</v>
      </c>
      <c r="AB42" s="2" t="s">
        <v>100</v>
      </c>
    </row>
    <row r="43" customFormat="false" ht="20.25" hidden="false" customHeight="true" outlineLevel="0" collapsed="false">
      <c r="B43" s="26" t="s">
        <v>101</v>
      </c>
      <c r="C43" s="27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9" t="n">
        <f aca="false">IF($Q$97=0,0,Q43/$Q$97)</f>
        <v>0</v>
      </c>
      <c r="Q43" s="29" t="n">
        <f aca="false">SUM(D43:O43)</f>
        <v>0</v>
      </c>
      <c r="R43" s="30" t="str">
        <f aca="false">IF(OR($Q$97=0,C43=0),"",IF(P43&lt;=C43,"✓ OK","Over"))</f>
        <v/>
      </c>
      <c r="T43" s="2"/>
      <c r="U43" s="2"/>
      <c r="V43" s="2"/>
      <c r="W43" s="2" t="n">
        <f aca="false">IF(AND($C$43=0,$P$43&gt;0),1,0)</f>
        <v>0</v>
      </c>
      <c r="X43" s="2"/>
      <c r="Y43" s="2"/>
      <c r="Z43" s="2" t="n">
        <f aca="false">IF(1=1,1,0)</f>
        <v>1</v>
      </c>
      <c r="AA43" s="2" t="n">
        <v>1</v>
      </c>
      <c r="AB43" s="2" t="str">
        <f aca="false">"Du har i gennemsnit "&amp;IF(ROUND($Y$5,0)&gt;=1000,INT(ROUND($Y$5,0)/1000)&amp;"."&amp;RIGHT("00"&amp;MOD(ROUND($Y$5,0),1000),3),ROUND($Y$5,0)&amp;"")&amp;" kr. tilbage hver måned. Bliv ved med at udfylde, så bliver billedet skarpere."</f>
        <v>Du har i gennemsnit 0 kr. tilbage hver måned. Bliv ved med at udfylde, så bliver billedet skarpere.</v>
      </c>
    </row>
    <row r="44" customFormat="false" ht="20.25" hidden="false" customHeight="true" outlineLevel="0" collapsed="false">
      <c r="B44" s="26" t="s">
        <v>102</v>
      </c>
      <c r="C44" s="27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 t="n">
        <f aca="false">IF($Q$97=0,0,Q44/$Q$97)</f>
        <v>0</v>
      </c>
      <c r="Q44" s="29" t="n">
        <f aca="false">SUM(D44:O44)</f>
        <v>0</v>
      </c>
      <c r="R44" s="30" t="str">
        <f aca="false">IF(OR($Q$97=0,C44=0),"",IF(P44&lt;=C44,"✓ OK","Over"))</f>
        <v/>
      </c>
      <c r="T44" s="2"/>
      <c r="U44" s="2"/>
      <c r="V44" s="2"/>
      <c r="W44" s="2" t="n">
        <f aca="false">IF(AND($C$44=0,$P$44&gt;0),1,0)</f>
        <v>0</v>
      </c>
      <c r="X44" s="2"/>
      <c r="Y44" s="2"/>
      <c r="Z44" s="2"/>
      <c r="AA44" s="2"/>
      <c r="AB44" s="2"/>
    </row>
    <row r="45" customFormat="false" ht="20.25" hidden="false" customHeight="true" outlineLevel="0" collapsed="false">
      <c r="B45" s="26" t="s">
        <v>103</v>
      </c>
      <c r="C45" s="27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9" t="n">
        <f aca="false">IF($Q$97=0,0,Q45/$Q$97)</f>
        <v>0</v>
      </c>
      <c r="Q45" s="29" t="n">
        <f aca="false">SUM(D45:O45)</f>
        <v>0</v>
      </c>
      <c r="R45" s="30" t="str">
        <f aca="false">IF(OR($Q$97=0,C45=0),"",IF(P45&lt;=C45,"✓ OK","Over"))</f>
        <v/>
      </c>
      <c r="T45" s="2"/>
      <c r="U45" s="2"/>
      <c r="V45" s="2"/>
      <c r="W45" s="2" t="n">
        <f aca="false">IF(AND($C$45=0,$P$45&gt;0),1,0)</f>
        <v>0</v>
      </c>
      <c r="X45" s="2"/>
      <c r="Y45" s="2"/>
      <c r="Z45" s="2"/>
      <c r="AA45" s="2"/>
      <c r="AB45" s="2"/>
    </row>
    <row r="46" customFormat="false" ht="15.75" hidden="false" customHeight="true" outlineLevel="0" collapsed="false">
      <c r="T46" s="2"/>
      <c r="U46" s="2"/>
      <c r="V46" s="2"/>
      <c r="W46" s="2"/>
      <c r="X46" s="2"/>
      <c r="Y46" s="2"/>
      <c r="Z46" s="2"/>
      <c r="AA46" s="2"/>
      <c r="AB46" s="2"/>
    </row>
    <row r="47" customFormat="false" ht="23.25" hidden="false" customHeight="true" outlineLevel="0" collapsed="false">
      <c r="B47" s="23" t="s">
        <v>104</v>
      </c>
      <c r="C47" s="24" t="n">
        <f aca="false">SUM(C48:C50)</f>
        <v>0</v>
      </c>
      <c r="D47" s="24" t="n">
        <f aca="false">SUM(D48:D50)</f>
        <v>0</v>
      </c>
      <c r="E47" s="24" t="n">
        <f aca="false">SUM(E48:E50)</f>
        <v>0</v>
      </c>
      <c r="F47" s="24" t="n">
        <f aca="false">SUM(F48:F50)</f>
        <v>0</v>
      </c>
      <c r="G47" s="24" t="n">
        <f aca="false">SUM(G48:G50)</f>
        <v>0</v>
      </c>
      <c r="H47" s="24" t="n">
        <f aca="false">SUM(H48:H50)</f>
        <v>0</v>
      </c>
      <c r="I47" s="24" t="n">
        <f aca="false">SUM(I48:I50)</f>
        <v>0</v>
      </c>
      <c r="J47" s="24" t="n">
        <f aca="false">SUM(J48:J50)</f>
        <v>0</v>
      </c>
      <c r="K47" s="24" t="n">
        <f aca="false">SUM(K48:K50)</f>
        <v>0</v>
      </c>
      <c r="L47" s="24" t="n">
        <f aca="false">SUM(L48:L50)</f>
        <v>0</v>
      </c>
      <c r="M47" s="24" t="n">
        <f aca="false">SUM(M48:M50)</f>
        <v>0</v>
      </c>
      <c r="N47" s="24" t="n">
        <f aca="false">SUM(N48:N50)</f>
        <v>0</v>
      </c>
      <c r="O47" s="24" t="n">
        <f aca="false">SUM(O48:O50)</f>
        <v>0</v>
      </c>
      <c r="P47" s="24" t="n">
        <f aca="false">IF($Q$97=0,0,Q47/$Q$97)</f>
        <v>0</v>
      </c>
      <c r="Q47" s="24" t="n">
        <f aca="false">SUM(Q48:Q50)</f>
        <v>0</v>
      </c>
      <c r="R47" s="25" t="str">
        <f aca="false">IF(OR($Q$97=0,C47=0),"",IF(P47&lt;=C47,"✓ OK","Over"))</f>
        <v/>
      </c>
      <c r="T47" s="2"/>
      <c r="U47" s="2" t="n">
        <f aca="false">IF($C$47&gt;0,$P$47-$C$47,0)</f>
        <v>0</v>
      </c>
      <c r="V47" s="2" t="s">
        <v>105</v>
      </c>
      <c r="W47" s="2"/>
      <c r="X47" s="2"/>
      <c r="Y47" s="2"/>
      <c r="Z47" s="2"/>
      <c r="AA47" s="2"/>
      <c r="AB47" s="2"/>
    </row>
    <row r="48" customFormat="false" ht="20.25" hidden="false" customHeight="true" outlineLevel="0" collapsed="false">
      <c r="B48" s="26" t="s">
        <v>106</v>
      </c>
      <c r="C48" s="27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9" t="n">
        <f aca="false">IF($Q$97=0,0,Q48/$Q$97)</f>
        <v>0</v>
      </c>
      <c r="Q48" s="29" t="n">
        <f aca="false">SUM(D48:O48)</f>
        <v>0</v>
      </c>
      <c r="R48" s="30" t="str">
        <f aca="false">IF(OR($Q$97=0,C48=0),"",IF(P48&lt;=C48,"✓ OK","Over"))</f>
        <v/>
      </c>
      <c r="T48" s="2"/>
      <c r="U48" s="2"/>
      <c r="V48" s="2"/>
      <c r="W48" s="2" t="n">
        <f aca="false">IF(AND($C$48=0,$P$48&gt;0),1,0)</f>
        <v>0</v>
      </c>
      <c r="X48" s="2"/>
      <c r="Y48" s="2"/>
      <c r="Z48" s="2"/>
      <c r="AA48" s="2"/>
      <c r="AB48" s="2"/>
    </row>
    <row r="49" customFormat="false" ht="20.25" hidden="false" customHeight="true" outlineLevel="0" collapsed="false">
      <c r="B49" s="26" t="s">
        <v>107</v>
      </c>
      <c r="C49" s="27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9" t="n">
        <f aca="false">IF($Q$97=0,0,Q49/$Q$97)</f>
        <v>0</v>
      </c>
      <c r="Q49" s="29" t="n">
        <f aca="false">SUM(D49:O49)</f>
        <v>0</v>
      </c>
      <c r="R49" s="30" t="str">
        <f aca="false">IF(OR($Q$97=0,C49=0),"",IF(P49&lt;=C49,"✓ OK","Over"))</f>
        <v/>
      </c>
      <c r="T49" s="2"/>
      <c r="U49" s="2"/>
      <c r="V49" s="2"/>
      <c r="W49" s="2" t="n">
        <f aca="false">IF(AND($C$49=0,$P$49&gt;0),1,0)</f>
        <v>0</v>
      </c>
      <c r="X49" s="2"/>
      <c r="Y49" s="2"/>
      <c r="Z49" s="2"/>
      <c r="AA49" s="2"/>
      <c r="AB49" s="2"/>
    </row>
    <row r="50" customFormat="false" ht="20.25" hidden="false" customHeight="true" outlineLevel="0" collapsed="false">
      <c r="B50" s="26" t="s">
        <v>108</v>
      </c>
      <c r="C50" s="27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9" t="n">
        <f aca="false">IF($Q$97=0,0,Q50/$Q$97)</f>
        <v>0</v>
      </c>
      <c r="Q50" s="29" t="n">
        <f aca="false">SUM(D50:O50)</f>
        <v>0</v>
      </c>
      <c r="R50" s="30" t="str">
        <f aca="false">IF(OR($Q$97=0,C50=0),"",IF(P50&lt;=C50,"✓ OK","Over"))</f>
        <v/>
      </c>
      <c r="T50" s="2"/>
      <c r="U50" s="2"/>
      <c r="V50" s="2"/>
      <c r="W50" s="2" t="n">
        <f aca="false">IF(AND($C$50=0,$P$50&gt;0),1,0)</f>
        <v>0</v>
      </c>
      <c r="X50" s="2"/>
      <c r="Y50" s="2"/>
      <c r="Z50" s="2"/>
      <c r="AA50" s="2"/>
      <c r="AB50" s="2"/>
    </row>
    <row r="51" customFormat="false" ht="15.75" hidden="false" customHeight="true" outlineLevel="0" collapsed="false">
      <c r="T51" s="2"/>
      <c r="U51" s="2"/>
      <c r="V51" s="2"/>
      <c r="W51" s="2"/>
      <c r="X51" s="2"/>
      <c r="Y51" s="2"/>
      <c r="Z51" s="2"/>
      <c r="AA51" s="2"/>
      <c r="AB51" s="2"/>
    </row>
    <row r="52" customFormat="false" ht="23.25" hidden="false" customHeight="true" outlineLevel="0" collapsed="false">
      <c r="B52" s="23" t="s">
        <v>109</v>
      </c>
      <c r="C52" s="24" t="n">
        <f aca="false">SUM(C53:C55)</f>
        <v>0</v>
      </c>
      <c r="D52" s="24" t="n">
        <f aca="false">SUM(D53:D55)</f>
        <v>0</v>
      </c>
      <c r="E52" s="24" t="n">
        <f aca="false">SUM(E53:E55)</f>
        <v>0</v>
      </c>
      <c r="F52" s="24" t="n">
        <f aca="false">SUM(F53:F55)</f>
        <v>0</v>
      </c>
      <c r="G52" s="24" t="n">
        <f aca="false">SUM(G53:G55)</f>
        <v>0</v>
      </c>
      <c r="H52" s="24" t="n">
        <f aca="false">SUM(H53:H55)</f>
        <v>0</v>
      </c>
      <c r="I52" s="24" t="n">
        <f aca="false">SUM(I53:I55)</f>
        <v>0</v>
      </c>
      <c r="J52" s="24" t="n">
        <f aca="false">SUM(J53:J55)</f>
        <v>0</v>
      </c>
      <c r="K52" s="24" t="n">
        <f aca="false">SUM(K53:K55)</f>
        <v>0</v>
      </c>
      <c r="L52" s="24" t="n">
        <f aca="false">SUM(L53:L55)</f>
        <v>0</v>
      </c>
      <c r="M52" s="24" t="n">
        <f aca="false">SUM(M53:M55)</f>
        <v>0</v>
      </c>
      <c r="N52" s="24" t="n">
        <f aca="false">SUM(N53:N55)</f>
        <v>0</v>
      </c>
      <c r="O52" s="24" t="n">
        <f aca="false">SUM(O53:O55)</f>
        <v>0</v>
      </c>
      <c r="P52" s="24" t="n">
        <f aca="false">IF($Q$97=0,0,Q52/$Q$97)</f>
        <v>0</v>
      </c>
      <c r="Q52" s="24" t="n">
        <f aca="false">SUM(Q53:Q55)</f>
        <v>0</v>
      </c>
      <c r="R52" s="25" t="str">
        <f aca="false">IF(OR($Q$97=0,C52=0),"",IF(P52&lt;=C52,"✓ OK","Over"))</f>
        <v/>
      </c>
      <c r="T52" s="2"/>
      <c r="U52" s="2" t="n">
        <f aca="false">IF($C$52&gt;0,$P$52-$C$52,0)</f>
        <v>0</v>
      </c>
      <c r="V52" s="2" t="s">
        <v>110</v>
      </c>
      <c r="W52" s="2"/>
      <c r="X52" s="2"/>
      <c r="Y52" s="2"/>
      <c r="Z52" s="2"/>
      <c r="AA52" s="2"/>
      <c r="AB52" s="2"/>
    </row>
    <row r="53" customFormat="false" ht="20.25" hidden="false" customHeight="true" outlineLevel="0" collapsed="false">
      <c r="B53" s="26" t="s">
        <v>111</v>
      </c>
      <c r="C53" s="27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9" t="n">
        <f aca="false">IF($Q$97=0,0,Q53/$Q$97)</f>
        <v>0</v>
      </c>
      <c r="Q53" s="29" t="n">
        <f aca="false">SUM(D53:O53)</f>
        <v>0</v>
      </c>
      <c r="R53" s="30" t="str">
        <f aca="false">IF(OR($Q$97=0,C53=0),"",IF(P53&lt;=C53,"✓ OK","Over"))</f>
        <v/>
      </c>
      <c r="T53" s="2"/>
      <c r="U53" s="2"/>
      <c r="V53" s="2"/>
      <c r="W53" s="2" t="n">
        <f aca="false">IF(AND($C$53=0,$P$53&gt;0),1,0)</f>
        <v>0</v>
      </c>
      <c r="X53" s="2"/>
      <c r="Y53" s="2"/>
      <c r="Z53" s="2"/>
      <c r="AA53" s="2"/>
      <c r="AB53" s="2"/>
    </row>
    <row r="54" customFormat="false" ht="20.25" hidden="false" customHeight="true" outlineLevel="0" collapsed="false">
      <c r="B54" s="26" t="s">
        <v>112</v>
      </c>
      <c r="C54" s="27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9" t="n">
        <f aca="false">IF($Q$97=0,0,Q54/$Q$97)</f>
        <v>0</v>
      </c>
      <c r="Q54" s="29" t="n">
        <f aca="false">SUM(D54:O54)</f>
        <v>0</v>
      </c>
      <c r="R54" s="30" t="str">
        <f aca="false">IF(OR($Q$97=0,C54=0),"",IF(P54&lt;=C54,"✓ OK","Over"))</f>
        <v/>
      </c>
      <c r="T54" s="2"/>
      <c r="U54" s="2"/>
      <c r="V54" s="2"/>
      <c r="W54" s="2" t="n">
        <f aca="false">IF(AND($C$54=0,$P$54&gt;0),1,0)</f>
        <v>0</v>
      </c>
      <c r="X54" s="2"/>
      <c r="Y54" s="2"/>
      <c r="Z54" s="2"/>
      <c r="AA54" s="2"/>
      <c r="AB54" s="2"/>
    </row>
    <row r="55" customFormat="false" ht="20.25" hidden="false" customHeight="true" outlineLevel="0" collapsed="false">
      <c r="B55" s="26" t="s">
        <v>113</v>
      </c>
      <c r="C55" s="27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9" t="n">
        <f aca="false">IF($Q$97=0,0,Q55/$Q$97)</f>
        <v>0</v>
      </c>
      <c r="Q55" s="29" t="n">
        <f aca="false">SUM(D55:O55)</f>
        <v>0</v>
      </c>
      <c r="R55" s="30" t="str">
        <f aca="false">IF(OR($Q$97=0,C55=0),"",IF(P55&lt;=C55,"✓ OK","Over"))</f>
        <v/>
      </c>
      <c r="T55" s="2"/>
      <c r="U55" s="2"/>
      <c r="V55" s="2"/>
      <c r="W55" s="2" t="n">
        <f aca="false">IF(AND($C$55=0,$P$55&gt;0),1,0)</f>
        <v>0</v>
      </c>
      <c r="X55" s="2"/>
      <c r="Y55" s="2"/>
      <c r="Z55" s="2"/>
      <c r="AA55" s="2"/>
      <c r="AB55" s="2"/>
    </row>
    <row r="56" customFormat="false" ht="15.75" hidden="false" customHeight="true" outlineLevel="0" collapsed="false">
      <c r="T56" s="2"/>
      <c r="U56" s="2"/>
      <c r="V56" s="2"/>
      <c r="W56" s="2"/>
      <c r="X56" s="2"/>
      <c r="Y56" s="2"/>
      <c r="Z56" s="2"/>
      <c r="AA56" s="2"/>
      <c r="AB56" s="2"/>
    </row>
    <row r="57" customFormat="false" ht="23.25" hidden="false" customHeight="true" outlineLevel="0" collapsed="false">
      <c r="B57" s="23" t="s">
        <v>114</v>
      </c>
      <c r="C57" s="24" t="n">
        <f aca="false">SUM(C58:C61)</f>
        <v>0</v>
      </c>
      <c r="D57" s="24" t="n">
        <f aca="false">SUM(D58:D61)</f>
        <v>0</v>
      </c>
      <c r="E57" s="24" t="n">
        <f aca="false">SUM(E58:E61)</f>
        <v>0</v>
      </c>
      <c r="F57" s="24" t="n">
        <f aca="false">SUM(F58:F61)</f>
        <v>0</v>
      </c>
      <c r="G57" s="24" t="n">
        <f aca="false">SUM(G58:G61)</f>
        <v>0</v>
      </c>
      <c r="H57" s="24" t="n">
        <f aca="false">SUM(H58:H61)</f>
        <v>0</v>
      </c>
      <c r="I57" s="24" t="n">
        <f aca="false">SUM(I58:I61)</f>
        <v>0</v>
      </c>
      <c r="J57" s="24" t="n">
        <f aca="false">SUM(J58:J61)</f>
        <v>0</v>
      </c>
      <c r="K57" s="24" t="n">
        <f aca="false">SUM(K58:K61)</f>
        <v>0</v>
      </c>
      <c r="L57" s="24" t="n">
        <f aca="false">SUM(L58:L61)</f>
        <v>0</v>
      </c>
      <c r="M57" s="24" t="n">
        <f aca="false">SUM(M58:M61)</f>
        <v>0</v>
      </c>
      <c r="N57" s="24" t="n">
        <f aca="false">SUM(N58:N61)</f>
        <v>0</v>
      </c>
      <c r="O57" s="24" t="n">
        <f aca="false">SUM(O58:O61)</f>
        <v>0</v>
      </c>
      <c r="P57" s="24" t="n">
        <f aca="false">IF($Q$97=0,0,Q57/$Q$97)</f>
        <v>0</v>
      </c>
      <c r="Q57" s="24" t="n">
        <f aca="false">SUM(Q58:Q61)</f>
        <v>0</v>
      </c>
      <c r="R57" s="25" t="str">
        <f aca="false">IF(OR($Q$97=0,C57=0),"",IF(P57&lt;=C57,"✓ OK","Over"))</f>
        <v/>
      </c>
      <c r="T57" s="2"/>
      <c r="U57" s="2" t="n">
        <f aca="false">IF($C$57&gt;0,$P$57-$C$57,0)</f>
        <v>0</v>
      </c>
      <c r="V57" s="2" t="s">
        <v>115</v>
      </c>
      <c r="W57" s="2"/>
      <c r="X57" s="2"/>
      <c r="Y57" s="2"/>
      <c r="Z57" s="2"/>
      <c r="AA57" s="2"/>
      <c r="AB57" s="2"/>
    </row>
    <row r="58" customFormat="false" ht="20.25" hidden="false" customHeight="true" outlineLevel="0" collapsed="false">
      <c r="B58" s="26" t="s">
        <v>116</v>
      </c>
      <c r="C58" s="27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9" t="n">
        <f aca="false">IF($Q$97=0,0,Q58/$Q$97)</f>
        <v>0</v>
      </c>
      <c r="Q58" s="29" t="n">
        <f aca="false">SUM(D58:O58)</f>
        <v>0</v>
      </c>
      <c r="R58" s="30" t="str">
        <f aca="false">IF(OR($Q$97=0,C58=0),"",IF(P58&lt;=C58,"✓ OK","Over"))</f>
        <v/>
      </c>
      <c r="T58" s="2"/>
      <c r="U58" s="2"/>
      <c r="V58" s="2"/>
      <c r="W58" s="2" t="n">
        <f aca="false">IF(AND($C$58=0,$P$58&gt;0),1,0)</f>
        <v>0</v>
      </c>
      <c r="X58" s="2"/>
      <c r="Y58" s="2"/>
      <c r="Z58" s="2"/>
      <c r="AA58" s="2"/>
      <c r="AB58" s="2"/>
    </row>
    <row r="59" customFormat="false" ht="20.25" hidden="false" customHeight="true" outlineLevel="0" collapsed="false">
      <c r="B59" s="26" t="s">
        <v>117</v>
      </c>
      <c r="C59" s="27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 t="n">
        <f aca="false">IF($Q$97=0,0,Q59/$Q$97)</f>
        <v>0</v>
      </c>
      <c r="Q59" s="29" t="n">
        <f aca="false">SUM(D59:O59)</f>
        <v>0</v>
      </c>
      <c r="R59" s="30" t="str">
        <f aca="false">IF(OR($Q$97=0,C59=0),"",IF(P59&lt;=C59,"✓ OK","Over"))</f>
        <v/>
      </c>
      <c r="T59" s="2"/>
      <c r="U59" s="2"/>
      <c r="V59" s="2"/>
      <c r="W59" s="2" t="n">
        <f aca="false">IF(AND($C$59=0,$P$59&gt;0),1,0)</f>
        <v>0</v>
      </c>
      <c r="X59" s="2"/>
      <c r="Y59" s="2"/>
      <c r="Z59" s="2"/>
      <c r="AA59" s="2"/>
      <c r="AB59" s="2"/>
    </row>
    <row r="60" customFormat="false" ht="20.25" hidden="false" customHeight="true" outlineLevel="0" collapsed="false">
      <c r="B60" s="26" t="s">
        <v>118</v>
      </c>
      <c r="C60" s="27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9" t="n">
        <f aca="false">IF($Q$97=0,0,Q60/$Q$97)</f>
        <v>0</v>
      </c>
      <c r="Q60" s="29" t="n">
        <f aca="false">SUM(D60:O60)</f>
        <v>0</v>
      </c>
      <c r="R60" s="30" t="str">
        <f aca="false">IF(OR($Q$97=0,C60=0),"",IF(P60&lt;=C60,"✓ OK","Over"))</f>
        <v/>
      </c>
      <c r="T60" s="2"/>
      <c r="U60" s="2"/>
      <c r="V60" s="2"/>
      <c r="W60" s="2" t="n">
        <f aca="false">IF(AND($C$60=0,$P$60&gt;0),1,0)</f>
        <v>0</v>
      </c>
      <c r="X60" s="2"/>
      <c r="Y60" s="2"/>
      <c r="Z60" s="2"/>
      <c r="AA60" s="2"/>
      <c r="AB60" s="2"/>
    </row>
    <row r="61" customFormat="false" ht="20.25" hidden="false" customHeight="true" outlineLevel="0" collapsed="false">
      <c r="B61" s="26" t="s">
        <v>119</v>
      </c>
      <c r="C61" s="27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9" t="n">
        <f aca="false">IF($Q$97=0,0,Q61/$Q$97)</f>
        <v>0</v>
      </c>
      <c r="Q61" s="29" t="n">
        <f aca="false">SUM(D61:O61)</f>
        <v>0</v>
      </c>
      <c r="R61" s="30" t="str">
        <f aca="false">IF(OR($Q$97=0,C61=0),"",IF(P61&lt;=C61,"✓ OK","Over"))</f>
        <v/>
      </c>
      <c r="T61" s="2"/>
      <c r="U61" s="2"/>
      <c r="V61" s="2"/>
      <c r="W61" s="2" t="n">
        <f aca="false">IF(AND($C$61=0,$P$61&gt;0),1,0)</f>
        <v>0</v>
      </c>
      <c r="X61" s="2"/>
      <c r="Y61" s="2"/>
      <c r="Z61" s="2"/>
      <c r="AA61" s="2"/>
      <c r="AB61" s="2"/>
    </row>
    <row r="62" customFormat="false" ht="15.75" hidden="false" customHeight="true" outlineLevel="0" collapsed="false">
      <c r="T62" s="2"/>
      <c r="U62" s="2"/>
      <c r="V62" s="2"/>
      <c r="W62" s="2"/>
      <c r="X62" s="2"/>
      <c r="Y62" s="2"/>
      <c r="Z62" s="2"/>
      <c r="AA62" s="2"/>
      <c r="AB62" s="2"/>
    </row>
    <row r="63" customFormat="false" ht="23.25" hidden="false" customHeight="true" outlineLevel="0" collapsed="false">
      <c r="B63" s="23" t="s">
        <v>120</v>
      </c>
      <c r="C63" s="24" t="n">
        <f aca="false">SUM(C64:C67)</f>
        <v>0</v>
      </c>
      <c r="D63" s="24" t="n">
        <f aca="false">SUM(D64:D67)</f>
        <v>0</v>
      </c>
      <c r="E63" s="24" t="n">
        <f aca="false">SUM(E64:E67)</f>
        <v>0</v>
      </c>
      <c r="F63" s="24" t="n">
        <f aca="false">SUM(F64:F67)</f>
        <v>0</v>
      </c>
      <c r="G63" s="24" t="n">
        <f aca="false">SUM(G64:G67)</f>
        <v>0</v>
      </c>
      <c r="H63" s="24" t="n">
        <f aca="false">SUM(H64:H67)</f>
        <v>0</v>
      </c>
      <c r="I63" s="24" t="n">
        <f aca="false">SUM(I64:I67)</f>
        <v>0</v>
      </c>
      <c r="J63" s="24" t="n">
        <f aca="false">SUM(J64:J67)</f>
        <v>0</v>
      </c>
      <c r="K63" s="24" t="n">
        <f aca="false">SUM(K64:K67)</f>
        <v>0</v>
      </c>
      <c r="L63" s="24" t="n">
        <f aca="false">SUM(L64:L67)</f>
        <v>0</v>
      </c>
      <c r="M63" s="24" t="n">
        <f aca="false">SUM(M64:M67)</f>
        <v>0</v>
      </c>
      <c r="N63" s="24" t="n">
        <f aca="false">SUM(N64:N67)</f>
        <v>0</v>
      </c>
      <c r="O63" s="24" t="n">
        <f aca="false">SUM(O64:O67)</f>
        <v>0</v>
      </c>
      <c r="P63" s="24" t="n">
        <f aca="false">IF($Q$97=0,0,Q63/$Q$97)</f>
        <v>0</v>
      </c>
      <c r="Q63" s="24" t="n">
        <f aca="false">SUM(Q64:Q67)</f>
        <v>0</v>
      </c>
      <c r="R63" s="25"/>
      <c r="T63" s="2"/>
      <c r="U63" s="2" t="n">
        <f aca="false">IF($C$67&gt;0,$P$67-$C$67,0)</f>
        <v>0</v>
      </c>
      <c r="V63" s="2" t="s">
        <v>121</v>
      </c>
      <c r="W63" s="2"/>
      <c r="X63" s="2"/>
      <c r="Y63" s="2"/>
      <c r="Z63" s="2"/>
      <c r="AA63" s="2"/>
      <c r="AB63" s="2"/>
    </row>
    <row r="64" customFormat="false" ht="20.25" hidden="false" customHeight="true" outlineLevel="0" collapsed="false">
      <c r="B64" s="26" t="s">
        <v>122</v>
      </c>
      <c r="C64" s="27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9" t="n">
        <f aca="false">IF($Q$97=0,0,Q64/$Q$97)</f>
        <v>0</v>
      </c>
      <c r="Q64" s="29" t="n">
        <f aca="false">SUM(D64:O64)</f>
        <v>0</v>
      </c>
      <c r="R64" s="30" t="str">
        <f aca="false">IF(OR($Q$97=0,C64=0),"",IF(P64&gt;=C64,"✓ OK","Under"))</f>
        <v/>
      </c>
      <c r="T64" s="2"/>
      <c r="U64" s="2"/>
      <c r="V64" s="2"/>
      <c r="W64" s="2"/>
      <c r="X64" s="2"/>
      <c r="Y64" s="2"/>
      <c r="Z64" s="2"/>
      <c r="AA64" s="2"/>
      <c r="AB64" s="2"/>
    </row>
    <row r="65" customFormat="false" ht="20.25" hidden="false" customHeight="true" outlineLevel="0" collapsed="false">
      <c r="B65" s="26" t="s">
        <v>123</v>
      </c>
      <c r="C65" s="27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9" t="n">
        <f aca="false">IF($Q$97=0,0,Q65/$Q$97)</f>
        <v>0</v>
      </c>
      <c r="Q65" s="29" t="n">
        <f aca="false">SUM(D65:O65)</f>
        <v>0</v>
      </c>
      <c r="R65" s="30" t="str">
        <f aca="false">IF(OR($Q$97=0,C65=0),"",IF(P65&gt;=C65,"✓ OK","Under"))</f>
        <v/>
      </c>
      <c r="T65" s="2"/>
      <c r="U65" s="2"/>
      <c r="V65" s="2"/>
      <c r="W65" s="2"/>
      <c r="X65" s="2"/>
      <c r="Y65" s="2"/>
      <c r="Z65" s="2"/>
      <c r="AA65" s="2"/>
      <c r="AB65" s="2"/>
    </row>
    <row r="66" customFormat="false" ht="20.25" hidden="false" customHeight="true" outlineLevel="0" collapsed="false">
      <c r="B66" s="26" t="s">
        <v>124</v>
      </c>
      <c r="C66" s="27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9" t="n">
        <f aca="false">IF($Q$97=0,0,Q66/$Q$97)</f>
        <v>0</v>
      </c>
      <c r="Q66" s="29" t="n">
        <f aca="false">SUM(D66:O66)</f>
        <v>0</v>
      </c>
      <c r="R66" s="30" t="str">
        <f aca="false">IF(OR($Q$97=0,C66=0),"",IF(P66&gt;=C66,"✓ OK","Under"))</f>
        <v/>
      </c>
      <c r="T66" s="2"/>
      <c r="U66" s="2"/>
      <c r="V66" s="2"/>
      <c r="W66" s="2"/>
      <c r="X66" s="2"/>
      <c r="Y66" s="2"/>
      <c r="Z66" s="2"/>
      <c r="AA66" s="2"/>
      <c r="AB66" s="2"/>
    </row>
    <row r="67" customFormat="false" ht="20.25" hidden="false" customHeight="true" outlineLevel="0" collapsed="false">
      <c r="B67" s="26" t="s">
        <v>125</v>
      </c>
      <c r="C67" s="27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9" t="n">
        <f aca="false">IF($Q$97=0,0,Q67/$Q$97)</f>
        <v>0</v>
      </c>
      <c r="Q67" s="29" t="n">
        <f aca="false">SUM(D67:O67)</f>
        <v>0</v>
      </c>
      <c r="R67" s="30" t="str">
        <f aca="false">IF(OR($Q$97=0,C67=0),"",IF(P67&lt;=C67,"✓ OK","Over"))</f>
        <v/>
      </c>
      <c r="T67" s="2"/>
      <c r="U67" s="2"/>
      <c r="V67" s="2"/>
      <c r="W67" s="2" t="n">
        <f aca="false">IF(AND($C$67=0,$P$67&gt;0),1,0)</f>
        <v>0</v>
      </c>
      <c r="X67" s="2"/>
      <c r="Y67" s="2"/>
      <c r="Z67" s="2"/>
      <c r="AA67" s="2"/>
      <c r="AB67" s="2"/>
    </row>
    <row r="68" customFormat="false" ht="15.75" hidden="false" customHeight="true" outlineLevel="0" collapsed="false"/>
    <row r="69" customFormat="false" ht="15.75" hidden="false" customHeight="true" outlineLevel="0" collapsed="false">
      <c r="B69" s="31" t="s">
        <v>126</v>
      </c>
    </row>
    <row r="70" customFormat="false" ht="15.75" hidden="false" customHeight="true" outlineLevel="0" collapsed="false"/>
    <row r="71" customFormat="false" ht="15.75" hidden="false" customHeight="true" outlineLevel="0" collapsed="false">
      <c r="B71" s="32" t="s">
        <v>127</v>
      </c>
    </row>
    <row r="97" customFormat="false" ht="15" hidden="true" customHeight="false" outlineLevel="0" collapsed="false">
      <c r="A97" s="2"/>
      <c r="B97" s="2" t="s">
        <v>128</v>
      </c>
      <c r="C97" s="2"/>
      <c r="D97" s="2" t="n">
        <f aca="false">IF(OR(D8&lt;&gt;0,D9&lt;&gt;0),1,0)</f>
        <v>0</v>
      </c>
      <c r="E97" s="2" t="n">
        <f aca="false">IF(OR(E8&lt;&gt;0,E9&lt;&gt;0),1,0)</f>
        <v>0</v>
      </c>
      <c r="F97" s="2" t="n">
        <f aca="false">IF(OR(F8&lt;&gt;0,F9&lt;&gt;0),1,0)</f>
        <v>0</v>
      </c>
      <c r="G97" s="2" t="n">
        <f aca="false">IF(OR(G8&lt;&gt;0,G9&lt;&gt;0),1,0)</f>
        <v>0</v>
      </c>
      <c r="H97" s="2" t="n">
        <f aca="false">IF(OR(H8&lt;&gt;0,H9&lt;&gt;0),1,0)</f>
        <v>0</v>
      </c>
      <c r="I97" s="2" t="n">
        <f aca="false">IF(OR(I8&lt;&gt;0,I9&lt;&gt;0),1,0)</f>
        <v>0</v>
      </c>
      <c r="J97" s="2" t="n">
        <f aca="false">IF(OR(J8&lt;&gt;0,J9&lt;&gt;0),1,0)</f>
        <v>0</v>
      </c>
      <c r="K97" s="2" t="n">
        <f aca="false">IF(OR(K8&lt;&gt;0,K9&lt;&gt;0),1,0)</f>
        <v>0</v>
      </c>
      <c r="L97" s="2" t="n">
        <f aca="false">IF(OR(L8&lt;&gt;0,L9&lt;&gt;0),1,0)</f>
        <v>0</v>
      </c>
      <c r="M97" s="2" t="n">
        <f aca="false">IF(OR(M8&lt;&gt;0,M9&lt;&gt;0),1,0)</f>
        <v>0</v>
      </c>
      <c r="N97" s="2" t="n">
        <f aca="false">IF(OR(N8&lt;&gt;0,N9&lt;&gt;0),1,0)</f>
        <v>0</v>
      </c>
      <c r="O97" s="2" t="n">
        <f aca="false">IF(OR(O8&lt;&gt;0,O9&lt;&gt;0),1,0)</f>
        <v>0</v>
      </c>
      <c r="P97" s="2"/>
      <c r="Q97" s="2" t="n">
        <f aca="false">SUM(D97:O97)</f>
        <v>0</v>
      </c>
      <c r="R97" s="2"/>
    </row>
  </sheetData>
  <sheetProtection sheet="true" formatCells="false" formatColumns="false" formatRows="false"/>
  <mergeCells count="1">
    <mergeCell ref="B16:R16"/>
  </mergeCells>
  <dataValidations count="1">
    <dataValidation allowBlank="true" error="Skriv et beløb i hele kroner, fx 4500" errorStyle="stop" errorTitle="Kun tal" operator="greaterThanOrEqual" showDropDown="false" showErrorMessage="false" showInputMessage="false" sqref="C24:O27 C30:O34 C37:O39 C42:O45 C48:O50 C53:O55 C58:O61 C64:O67" type="decimal">
      <formula1>0</formula1>
      <formula2>0</formula2>
    </dataValidation>
  </dataValidations>
  <hyperlinks>
    <hyperlink ref="B71" r:id="rId1" display="kronerogore.dk  ·  Gratis skabeloner til din privatøkonomi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70"/>
  </cols>
  <sheetData>
    <row r="1" customFormat="false" ht="7.5" hidden="false" customHeight="true" outlineLevel="0" collapsed="false">
      <c r="A1" s="1"/>
      <c r="B1" s="1"/>
      <c r="C1" s="1"/>
    </row>
    <row r="3" customFormat="false" ht="22.05" hidden="false" customHeight="false" outlineLevel="0" collapsed="false">
      <c r="B3" s="33" t="s">
        <v>129</v>
      </c>
    </row>
    <row r="5" customFormat="false" ht="30" hidden="false" customHeight="true" outlineLevel="0" collapsed="false">
      <c r="B5" s="34" t="s">
        <v>130</v>
      </c>
      <c r="C5" s="35" t="s">
        <v>131</v>
      </c>
    </row>
    <row r="7" customFormat="false" ht="30" hidden="false" customHeight="true" outlineLevel="0" collapsed="false">
      <c r="B7" s="34" t="s">
        <v>132</v>
      </c>
      <c r="C7" s="35" t="s">
        <v>133</v>
      </c>
    </row>
    <row r="9" customFormat="false" ht="30" hidden="false" customHeight="true" outlineLevel="0" collapsed="false">
      <c r="B9" s="34" t="s">
        <v>134</v>
      </c>
      <c r="C9" s="35" t="s">
        <v>135</v>
      </c>
    </row>
    <row r="11" customFormat="false" ht="30" hidden="false" customHeight="true" outlineLevel="0" collapsed="false">
      <c r="B11" s="34" t="s">
        <v>136</v>
      </c>
      <c r="C11" s="35" t="s">
        <v>137</v>
      </c>
    </row>
    <row r="13" customFormat="false" ht="30" hidden="false" customHeight="true" outlineLevel="0" collapsed="false">
      <c r="B13" s="34" t="s">
        <v>138</v>
      </c>
      <c r="C13" s="35" t="s">
        <v>139</v>
      </c>
    </row>
    <row r="16" customFormat="false" ht="15" hidden="false" customHeight="false" outlineLevel="0" collapsed="false">
      <c r="B16" s="32" t="s">
        <v>140</v>
      </c>
    </row>
  </sheetData>
  <hyperlinks>
    <hyperlink ref="B16" r:id="rId1" display="kronerogore.dk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2026-10-03T11:12:26Z</dcterms:created>
  <dc:creator>Kroner &amp; Øre</dc:creator>
  <dc:description/>
  <dc:language>en-US</dc:language>
  <cp:lastModifiedBy/>
  <dcterms:modified xsi:type="dcterms:W3CDTF">2026-10-03T13:12:28Z</dcterms:modified>
  <cp:revision>1</cp:revision>
  <dc:subject/>
  <dc:title>Regnskabsskema 2026 - Kroner &amp; Øre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